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6" yWindow="576" windowWidth="23256" windowHeight="11952"/>
  </bookViews>
  <sheets>
    <sheet name="Информация" sheetId="2" r:id="rId1"/>
  </sheets>
  <definedNames>
    <definedName name="_xlnm.Print_Titles" localSheetId="0">Информация!$5:$7</definedName>
  </definedNames>
  <calcPr calcId="124519"/>
</workbook>
</file>

<file path=xl/calcChain.xml><?xml version="1.0" encoding="utf-8"?>
<calcChain xmlns="http://schemas.openxmlformats.org/spreadsheetml/2006/main">
  <c r="J18" i="2"/>
  <c r="J91"/>
  <c r="J89"/>
  <c r="J88"/>
  <c r="J84"/>
  <c r="J83"/>
  <c r="J82"/>
  <c r="J81"/>
  <c r="J80"/>
  <c r="J79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8"/>
  <c r="J47"/>
  <c r="J46"/>
  <c r="J45"/>
  <c r="J44"/>
  <c r="J43"/>
  <c r="J42"/>
  <c r="J41"/>
  <c r="J40"/>
  <c r="J39"/>
  <c r="J37"/>
  <c r="J36"/>
  <c r="J35"/>
  <c r="J34"/>
  <c r="J33"/>
  <c r="J32"/>
  <c r="J31"/>
  <c r="J29"/>
  <c r="J28"/>
  <c r="J27"/>
  <c r="J26"/>
  <c r="J25"/>
  <c r="J24"/>
  <c r="J23"/>
  <c r="J22"/>
  <c r="J21"/>
  <c r="J20"/>
  <c r="J19"/>
  <c r="J17"/>
  <c r="J15"/>
  <c r="J14"/>
  <c r="J13"/>
  <c r="J12"/>
  <c r="J11"/>
  <c r="J10"/>
  <c r="J8"/>
  <c r="I91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8"/>
  <c r="B91"/>
  <c r="C91"/>
  <c r="C89"/>
  <c r="B89"/>
  <c r="C88"/>
  <c r="B88"/>
  <c r="B87"/>
  <c r="B85"/>
  <c r="C84"/>
  <c r="D84" s="1"/>
  <c r="B84"/>
  <c r="C83"/>
  <c r="B83"/>
  <c r="C82"/>
  <c r="B82"/>
  <c r="D81"/>
  <c r="C81"/>
  <c r="B81"/>
  <c r="C80"/>
  <c r="B80"/>
  <c r="C79"/>
  <c r="B79"/>
  <c r="D78"/>
  <c r="C78"/>
  <c r="B78"/>
  <c r="C77"/>
  <c r="B77"/>
  <c r="C76"/>
  <c r="B76"/>
  <c r="C75"/>
  <c r="B75"/>
  <c r="C74"/>
  <c r="B74"/>
  <c r="C73"/>
  <c r="B73"/>
  <c r="C72"/>
  <c r="B72"/>
  <c r="C71"/>
  <c r="B71"/>
  <c r="C70"/>
  <c r="B70"/>
  <c r="C69"/>
  <c r="B69"/>
  <c r="C68"/>
  <c r="B68"/>
  <c r="C67"/>
  <c r="B67"/>
  <c r="C66"/>
  <c r="B66"/>
  <c r="C65"/>
  <c r="B65"/>
  <c r="C64"/>
  <c r="B64"/>
  <c r="C63"/>
  <c r="B63"/>
  <c r="C62"/>
  <c r="B62"/>
  <c r="C61"/>
  <c r="B61"/>
  <c r="C60"/>
  <c r="B60"/>
  <c r="C59"/>
  <c r="B59"/>
  <c r="C58"/>
  <c r="B58"/>
  <c r="C57"/>
  <c r="B57"/>
  <c r="C56"/>
  <c r="B56"/>
  <c r="C55"/>
  <c r="B55"/>
  <c r="C54"/>
  <c r="B54"/>
  <c r="C53"/>
  <c r="B53"/>
  <c r="C52"/>
  <c r="B52"/>
  <c r="C51"/>
  <c r="B51"/>
  <c r="C50"/>
  <c r="B50"/>
  <c r="C48"/>
  <c r="B48"/>
  <c r="C47"/>
  <c r="B47"/>
  <c r="C46"/>
  <c r="B46"/>
  <c r="C44"/>
  <c r="B44"/>
  <c r="C43"/>
  <c r="B43"/>
  <c r="C45"/>
  <c r="B45"/>
  <c r="C42"/>
  <c r="B42"/>
  <c r="C41"/>
  <c r="B41"/>
  <c r="C40"/>
  <c r="B40"/>
  <c r="C39"/>
  <c r="B39"/>
  <c r="B38"/>
  <c r="C37"/>
  <c r="B37"/>
  <c r="C36"/>
  <c r="B36"/>
  <c r="C35"/>
  <c r="B35"/>
  <c r="C34"/>
  <c r="B34"/>
  <c r="C33"/>
  <c r="B33"/>
  <c r="C32"/>
  <c r="B32"/>
  <c r="C31"/>
  <c r="B31"/>
  <c r="C29"/>
  <c r="B29"/>
  <c r="C28"/>
  <c r="C27"/>
  <c r="C26"/>
  <c r="B26"/>
  <c r="C25"/>
  <c r="B25"/>
  <c r="C23"/>
  <c r="B23"/>
  <c r="C22"/>
  <c r="B22"/>
  <c r="C21"/>
  <c r="B21"/>
  <c r="C20"/>
  <c r="B20"/>
  <c r="C19"/>
  <c r="B19"/>
  <c r="C18"/>
  <c r="B18"/>
  <c r="C17"/>
  <c r="B17"/>
  <c r="D16"/>
  <c r="C16"/>
  <c r="B16"/>
  <c r="C15"/>
  <c r="B15"/>
  <c r="C14"/>
  <c r="B14"/>
  <c r="C13"/>
  <c r="B13"/>
  <c r="C12"/>
  <c r="B12"/>
  <c r="C11"/>
  <c r="C10"/>
  <c r="B11"/>
  <c r="B10"/>
  <c r="B8"/>
  <c r="C8"/>
  <c r="H25" l="1"/>
  <c r="D87"/>
  <c r="D85"/>
  <c r="B49"/>
  <c r="D38"/>
  <c r="D72"/>
  <c r="H85"/>
  <c r="H87"/>
  <c r="H38"/>
  <c r="D20" l="1"/>
  <c r="D88"/>
  <c r="D91"/>
  <c r="D18"/>
  <c r="D22"/>
  <c r="D31"/>
  <c r="D33"/>
  <c r="D35"/>
  <c r="D37"/>
  <c r="D50"/>
  <c r="D52"/>
  <c r="D54"/>
  <c r="D56"/>
  <c r="D58"/>
  <c r="D60"/>
  <c r="D62"/>
  <c r="D64"/>
  <c r="D66"/>
  <c r="D68"/>
  <c r="D70"/>
  <c r="D74"/>
  <c r="D76"/>
  <c r="D79"/>
  <c r="D25"/>
  <c r="D11"/>
  <c r="D83"/>
  <c r="H46"/>
  <c r="D19"/>
  <c r="D21"/>
  <c r="D23"/>
  <c r="D29"/>
  <c r="D89"/>
  <c r="H81"/>
  <c r="D17"/>
  <c r="D26"/>
  <c r="D8"/>
  <c r="D13"/>
  <c r="D15"/>
  <c r="D39"/>
  <c r="D41"/>
  <c r="D43"/>
  <c r="D45"/>
  <c r="D47"/>
  <c r="D10"/>
  <c r="D12"/>
  <c r="D14"/>
  <c r="D32"/>
  <c r="D34"/>
  <c r="D36"/>
  <c r="D40"/>
  <c r="D42"/>
  <c r="D44"/>
  <c r="D46"/>
  <c r="D48"/>
  <c r="D51"/>
  <c r="D53"/>
  <c r="D55"/>
  <c r="D57"/>
  <c r="D59"/>
  <c r="D61"/>
  <c r="D65"/>
  <c r="D67"/>
  <c r="D69"/>
  <c r="D71"/>
  <c r="D73"/>
  <c r="D75"/>
  <c r="D77"/>
  <c r="D80"/>
  <c r="D82"/>
  <c r="D63"/>
  <c r="H50"/>
  <c r="H53"/>
  <c r="H57"/>
  <c r="H82"/>
  <c r="H40"/>
  <c r="H91"/>
  <c r="H68"/>
  <c r="H56"/>
  <c r="H52"/>
  <c r="H32"/>
  <c r="H43"/>
  <c r="H47"/>
  <c r="H35"/>
  <c r="H37"/>
  <c r="H18"/>
  <c r="H19"/>
  <c r="H21"/>
  <c r="H73"/>
  <c r="H23"/>
  <c r="H8"/>
  <c r="H41"/>
  <c r="H22"/>
  <c r="H58"/>
  <c r="H13"/>
  <c r="H20"/>
  <c r="H89"/>
  <c r="H88"/>
  <c r="H84"/>
  <c r="H83"/>
  <c r="H80"/>
  <c r="H79"/>
  <c r="H77"/>
  <c r="H76"/>
  <c r="H75"/>
  <c r="H74"/>
  <c r="H72"/>
  <c r="H71"/>
  <c r="H70"/>
  <c r="H69"/>
  <c r="H67"/>
  <c r="H66"/>
  <c r="H65"/>
  <c r="H64"/>
  <c r="H63"/>
  <c r="H62"/>
  <c r="H61"/>
  <c r="H60"/>
  <c r="H59"/>
  <c r="H55"/>
  <c r="H54"/>
  <c r="H51"/>
  <c r="H48"/>
  <c r="H45"/>
  <c r="H44"/>
  <c r="H42"/>
  <c r="H39"/>
  <c r="H36"/>
  <c r="H34"/>
  <c r="H33"/>
  <c r="H31"/>
  <c r="H29"/>
  <c r="H26"/>
  <c r="H17"/>
  <c r="H15"/>
  <c r="H14"/>
  <c r="H12"/>
  <c r="H11"/>
  <c r="H10"/>
</calcChain>
</file>

<file path=xl/sharedStrings.xml><?xml version="1.0" encoding="utf-8"?>
<sst xmlns="http://schemas.openxmlformats.org/spreadsheetml/2006/main" count="107" uniqueCount="101">
  <si>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</si>
  <si>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</si>
  <si>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</si>
  <si>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</si>
  <si>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</si>
  <si>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</si>
  <si>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</si>
  <si>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</si>
  <si>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</si>
  <si>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</si>
  <si>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</si>
  <si>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</si>
  <si>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</si>
  <si>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</si>
  <si>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</si>
  <si>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</si>
  <si>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</si>
  <si>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</si>
  <si>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</si>
  <si>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</si>
  <si>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</si>
  <si>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</si>
  <si>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</si>
  <si>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</si>
  <si>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</si>
  <si>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</si>
  <si>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</si>
  <si>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</si>
  <si>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</si>
  <si>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</si>
  <si>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</si>
  <si>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</si>
  <si>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</si>
  <si>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</si>
  <si>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</si>
  <si>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</si>
  <si>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</si>
  <si>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</si>
  <si>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</si>
  <si>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</si>
  <si>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</si>
  <si>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</si>
  <si>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</si>
  <si>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</si>
  <si>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</si>
  <si>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</si>
  <si>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</si>
  <si>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</si>
  <si>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</si>
  <si>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</si>
  <si>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</si>
  <si>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</si>
  <si>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</si>
  <si>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</si>
  <si>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</si>
  <si>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</si>
  <si>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</si>
  <si>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</si>
  <si>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</si>
  <si>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</si>
  <si>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</si>
  <si>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</si>
  <si>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</si>
  <si>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</si>
  <si>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</si>
  <si>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</si>
  <si>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</si>
  <si>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</si>
  <si>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</si>
  <si>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</si>
  <si>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</si>
  <si>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</si>
  <si>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</si>
  <si>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</si>
  <si>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</si>
  <si>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</si>
  <si>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</si>
  <si>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</si>
  <si>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</si>
  <si>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</si>
  <si>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</si>
  <si>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</si>
  <si>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</si>
  <si>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</si>
  <si>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 xml:space="preserve">  НАЛОГИ НА  ДОХОДЫ ФИЗИЧЕСКИХ ЛИЦ</t>
  </si>
  <si>
    <t>Отклонение</t>
  </si>
  <si>
    <t xml:space="preserve"> </t>
  </si>
  <si>
    <t>на 01.01.2021</t>
  </si>
  <si>
    <t>Транспорт</t>
  </si>
  <si>
    <t>Телевидение и радиовещание</t>
  </si>
  <si>
    <t>% исполнения за 2020 год</t>
  </si>
  <si>
    <t xml:space="preserve">  БЕЗВОЗМЕЗДНЫЕ ПОСТУПЛЕНИЯ ОТ НЕРЕЗИДЕНТОВ</t>
  </si>
  <si>
    <t xml:space="preserve">  Молодежная политика </t>
  </si>
  <si>
    <t>5</t>
  </si>
  <si>
    <t>9</t>
  </si>
  <si>
    <t>10</t>
  </si>
  <si>
    <t>на 01.01.2022</t>
  </si>
  <si>
    <t>% исполнения за 2021 год</t>
  </si>
  <si>
    <t>Спорт высших достижений</t>
  </si>
  <si>
    <t>темп                роста (+)         снижения (-)</t>
  </si>
  <si>
    <t>Сопоставимая информация об исполнении консолидированного бюджета Всеволожского муниципального района Ленинградской области за 2021 год по отношению к 2020 году (тыс. руб.)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</si>
</sst>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1">
    <xf numFmtId="0" fontId="0" fillId="0" borderId="0" xfId="0"/>
    <xf numFmtId="0" fontId="20" fillId="4" borderId="0" xfId="0" applyFont="1" applyFill="1" applyProtection="1">
      <protection locked="0"/>
    </xf>
    <xf numFmtId="49" fontId="19" fillId="4" borderId="50" xfId="39" applyFont="1" applyFill="1" applyBorder="1" applyProtection="1">
      <alignment horizontal="center" vertical="center" wrapText="1"/>
    </xf>
    <xf numFmtId="49" fontId="19" fillId="4" borderId="49" xfId="39" applyFont="1" applyFill="1" applyBorder="1" applyProtection="1">
      <alignment horizontal="center" vertical="center" wrapText="1"/>
    </xf>
    <xf numFmtId="0" fontId="19" fillId="4" borderId="49" xfId="10" applyNumberFormat="1" applyFont="1" applyFill="1" applyBorder="1" applyProtection="1"/>
    <xf numFmtId="0" fontId="19" fillId="4" borderId="51" xfId="40" applyNumberFormat="1" applyFont="1" applyFill="1" applyBorder="1" applyProtection="1">
      <alignment horizontal="center" vertical="center" wrapText="1"/>
    </xf>
    <xf numFmtId="0" fontId="19" fillId="4" borderId="49" xfId="40" applyNumberFormat="1" applyFont="1" applyFill="1" applyBorder="1" applyProtection="1">
      <alignment horizontal="center" vertical="center" wrapText="1"/>
    </xf>
    <xf numFmtId="0" fontId="19" fillId="4" borderId="49" xfId="42" applyNumberFormat="1" applyFont="1" applyFill="1" applyBorder="1" applyProtection="1">
      <alignment horizontal="left" wrapText="1"/>
    </xf>
    <xf numFmtId="4" fontId="19" fillId="4" borderId="49" xfId="45" applyFont="1" applyFill="1" applyBorder="1" applyProtection="1">
      <alignment horizontal="right"/>
    </xf>
    <xf numFmtId="0" fontId="19" fillId="4" borderId="49" xfId="17" applyNumberFormat="1" applyFont="1" applyFill="1" applyBorder="1" applyProtection="1"/>
    <xf numFmtId="2" fontId="19" fillId="4" borderId="49" xfId="17" applyNumberFormat="1" applyFont="1" applyFill="1" applyBorder="1" applyProtection="1"/>
    <xf numFmtId="4" fontId="20" fillId="4" borderId="49" xfId="0" applyNumberFormat="1" applyFont="1" applyFill="1" applyBorder="1" applyProtection="1">
      <protection locked="0"/>
    </xf>
    <xf numFmtId="0" fontId="19" fillId="4" borderId="49" xfId="47" applyNumberFormat="1" applyFont="1" applyFill="1" applyBorder="1" applyProtection="1">
      <alignment horizontal="left" wrapText="1" indent="1"/>
    </xf>
    <xf numFmtId="49" fontId="19" fillId="4" borderId="49" xfId="49" applyFont="1" applyFill="1" applyBorder="1" applyProtection="1">
      <alignment horizontal="center"/>
    </xf>
    <xf numFmtId="0" fontId="19" fillId="4" borderId="49" xfId="51" applyNumberFormat="1" applyFont="1" applyFill="1" applyBorder="1" applyProtection="1">
      <alignment horizontal="left" wrapText="1" indent="2"/>
    </xf>
    <xf numFmtId="4" fontId="19" fillId="4" borderId="49" xfId="54" applyFont="1" applyFill="1" applyBorder="1" applyProtection="1">
      <alignment horizontal="right"/>
    </xf>
    <xf numFmtId="0" fontId="17" fillId="4" borderId="0" xfId="0" applyFont="1" applyFill="1" applyProtection="1">
      <protection locked="0"/>
    </xf>
    <xf numFmtId="0" fontId="18" fillId="4" borderId="49" xfId="74" applyNumberFormat="1" applyFont="1" applyFill="1" applyBorder="1" applyProtection="1">
      <alignment horizontal="left" wrapText="1"/>
    </xf>
    <xf numFmtId="4" fontId="19" fillId="4" borderId="49" xfId="77" applyFont="1" applyFill="1" applyBorder="1" applyProtection="1">
      <alignment horizontal="right"/>
    </xf>
    <xf numFmtId="0" fontId="19" fillId="4" borderId="49" xfId="83" applyNumberFormat="1" applyFont="1" applyFill="1" applyBorder="1" applyProtection="1">
      <alignment horizontal="left" wrapText="1"/>
    </xf>
    <xf numFmtId="0" fontId="20" fillId="4" borderId="49" xfId="0" applyFont="1" applyFill="1" applyBorder="1" applyProtection="1">
      <protection locked="0"/>
    </xf>
    <xf numFmtId="0" fontId="19" fillId="4" borderId="49" xfId="85" applyNumberFormat="1" applyFont="1" applyFill="1" applyBorder="1" applyProtection="1">
      <alignment horizontal="left" wrapText="1"/>
    </xf>
    <xf numFmtId="0" fontId="19" fillId="4" borderId="49" xfId="89" applyNumberFormat="1" applyFont="1" applyFill="1" applyBorder="1" applyProtection="1">
      <alignment horizontal="left" wrapText="1" indent="1"/>
    </xf>
    <xf numFmtId="49" fontId="19" fillId="4" borderId="56" xfId="39" applyFont="1" applyFill="1" applyBorder="1" applyProtection="1">
      <alignment horizontal="center" vertical="center" wrapText="1"/>
    </xf>
    <xf numFmtId="0" fontId="19" fillId="4" borderId="57" xfId="40" applyNumberFormat="1" applyFont="1" applyFill="1" applyBorder="1" applyProtection="1">
      <alignment horizontal="center" vertical="center" wrapText="1"/>
    </xf>
    <xf numFmtId="4" fontId="19" fillId="4" borderId="55" xfId="45" applyFont="1" applyFill="1" applyBorder="1" applyProtection="1">
      <alignment horizontal="right"/>
    </xf>
    <xf numFmtId="4" fontId="19" fillId="4" borderId="12" xfId="45" applyFont="1" applyFill="1" applyBorder="1" applyProtection="1">
      <alignment horizontal="right"/>
    </xf>
    <xf numFmtId="4" fontId="20" fillId="4" borderId="0" xfId="0" applyNumberFormat="1" applyFont="1" applyFill="1" applyProtection="1">
      <protection locked="0"/>
    </xf>
    <xf numFmtId="49" fontId="19" fillId="4" borderId="49" xfId="71" applyFont="1" applyFill="1" applyBorder="1" applyProtection="1">
      <alignment horizontal="center"/>
    </xf>
    <xf numFmtId="0" fontId="19" fillId="4" borderId="49" xfId="66" applyNumberFormat="1" applyFont="1" applyFill="1" applyBorder="1" applyProtection="1">
      <alignment horizontal="left" wrapText="1"/>
    </xf>
    <xf numFmtId="0" fontId="19" fillId="4" borderId="49" xfId="69" applyNumberFormat="1" applyFont="1" applyFill="1" applyBorder="1" applyProtection="1">
      <alignment horizontal="left" wrapText="1" indent="1"/>
    </xf>
    <xf numFmtId="4" fontId="17" fillId="4" borderId="0" xfId="0" applyNumberFormat="1" applyFont="1" applyFill="1" applyProtection="1">
      <protection locked="0"/>
    </xf>
    <xf numFmtId="4" fontId="19" fillId="4" borderId="49" xfId="17" applyNumberFormat="1" applyFont="1" applyFill="1" applyBorder="1" applyProtection="1"/>
    <xf numFmtId="0" fontId="19" fillId="4" borderId="52" xfId="6" applyNumberFormat="1" applyFont="1" applyFill="1" applyBorder="1" applyAlignment="1" applyProtection="1">
      <alignment horizontal="center"/>
    </xf>
    <xf numFmtId="0" fontId="20" fillId="4" borderId="52" xfId="0" applyFont="1" applyFill="1" applyBorder="1" applyAlignment="1" applyProtection="1">
      <alignment horizontal="center"/>
      <protection locked="0"/>
    </xf>
    <xf numFmtId="49" fontId="20" fillId="4" borderId="1" xfId="0" applyNumberFormat="1" applyFont="1" applyFill="1" applyBorder="1" applyAlignment="1" applyProtection="1">
      <alignment horizontal="center"/>
      <protection locked="0"/>
    </xf>
    <xf numFmtId="49" fontId="19" fillId="4" borderId="49" xfId="41" applyFont="1" applyFill="1" applyBorder="1" applyAlignment="1" applyProtection="1">
      <alignment horizontal="center" vertical="center" wrapText="1"/>
    </xf>
    <xf numFmtId="0" fontId="19" fillId="4" borderId="49" xfId="10" applyNumberFormat="1" applyFont="1" applyFill="1" applyBorder="1" applyAlignment="1" applyProtection="1">
      <alignment horizontal="center"/>
    </xf>
    <xf numFmtId="49" fontId="20" fillId="4" borderId="49" xfId="0" applyNumberFormat="1" applyFont="1" applyFill="1" applyBorder="1" applyAlignment="1" applyProtection="1">
      <alignment horizontal="center"/>
      <protection locked="0"/>
    </xf>
    <xf numFmtId="4" fontId="19" fillId="4" borderId="17" xfId="45" applyNumberFormat="1" applyFont="1" applyFill="1" applyProtection="1">
      <alignment horizontal="right"/>
    </xf>
    <xf numFmtId="4" fontId="19" fillId="4" borderId="26" xfId="54" applyNumberFormat="1" applyFont="1" applyFill="1" applyProtection="1">
      <alignment horizontal="right"/>
    </xf>
    <xf numFmtId="4" fontId="19" fillId="4" borderId="20" xfId="63" applyNumberFormat="1" applyFont="1" applyFill="1" applyBorder="1" applyAlignment="1" applyProtection="1">
      <alignment horizontal="right"/>
    </xf>
    <xf numFmtId="0" fontId="20" fillId="4" borderId="58" xfId="0" applyFont="1" applyFill="1" applyBorder="1" applyAlignment="1" applyProtection="1">
      <alignment horizontal="center" vertical="center" wrapText="1"/>
      <protection locked="0"/>
    </xf>
    <xf numFmtId="0" fontId="20" fillId="4" borderId="59" xfId="0" applyFont="1" applyFill="1" applyBorder="1" applyAlignment="1" applyProtection="1">
      <alignment horizontal="center" vertical="center" wrapText="1"/>
      <protection locked="0"/>
    </xf>
    <xf numFmtId="0" fontId="20" fillId="4" borderId="60" xfId="0" applyFont="1" applyFill="1" applyBorder="1" applyAlignment="1" applyProtection="1">
      <alignment horizontal="center" vertical="center" wrapText="1"/>
      <protection locked="0"/>
    </xf>
    <xf numFmtId="49" fontId="19" fillId="4" borderId="49" xfId="39" applyFont="1" applyFill="1" applyBorder="1" applyAlignment="1" applyProtection="1">
      <alignment horizontal="center" vertical="center" wrapText="1"/>
    </xf>
    <xf numFmtId="0" fontId="19" fillId="4" borderId="1" xfId="20" applyNumberFormat="1" applyFont="1" applyFill="1" applyAlignment="1" applyProtection="1">
      <alignment horizontal="center"/>
    </xf>
    <xf numFmtId="0" fontId="19" fillId="4" borderId="53" xfId="6" applyNumberFormat="1" applyFont="1" applyFill="1" applyBorder="1" applyAlignment="1" applyProtection="1">
      <alignment horizontal="center"/>
    </xf>
    <xf numFmtId="0" fontId="19" fillId="4" borderId="54" xfId="6" applyNumberFormat="1" applyFont="1" applyFill="1" applyBorder="1" applyAlignment="1" applyProtection="1">
      <alignment horizontal="center"/>
    </xf>
    <xf numFmtId="49" fontId="19" fillId="4" borderId="49" xfId="25" applyFont="1" applyFill="1" applyBorder="1" applyAlignment="1" applyProtection="1">
      <alignment horizontal="center"/>
    </xf>
    <xf numFmtId="0" fontId="20" fillId="4" borderId="49" xfId="0" applyFont="1" applyFill="1" applyBorder="1" applyAlignment="1" applyProtection="1">
      <alignment horizontal="center" vertical="center"/>
      <protection locked="0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tabSelected="1" zoomScale="85" zoomScaleNormal="85" workbookViewId="0">
      <selection activeCell="A4" sqref="A4:A6"/>
    </sheetView>
  </sheetViews>
  <sheetFormatPr defaultColWidth="9.109375" defaultRowHeight="18"/>
  <cols>
    <col min="1" max="1" width="74.88671875" style="1" customWidth="1"/>
    <col min="2" max="2" width="23.5546875" style="1" customWidth="1"/>
    <col min="3" max="3" width="23" style="1" customWidth="1"/>
    <col min="4" max="4" width="14.109375" style="1" customWidth="1"/>
    <col min="5" max="5" width="24.44140625" style="1" customWidth="1"/>
    <col min="6" max="6" width="21.21875" style="1" customWidth="1"/>
    <col min="7" max="7" width="9.109375" style="1" hidden="1" customWidth="1"/>
    <col min="8" max="8" width="17.109375" style="1" customWidth="1"/>
    <col min="9" max="9" width="19.5546875" style="1" customWidth="1"/>
    <col min="10" max="10" width="16.33203125" style="1" customWidth="1"/>
    <col min="11" max="11" width="22.88671875" style="1" bestFit="1" customWidth="1"/>
    <col min="12" max="12" width="22.109375" style="1" bestFit="1" customWidth="1"/>
    <col min="13" max="16384" width="9.109375" style="1"/>
  </cols>
  <sheetData>
    <row r="1" spans="1:11">
      <c r="A1" s="46" t="s">
        <v>100</v>
      </c>
      <c r="B1" s="46"/>
      <c r="C1" s="46"/>
      <c r="D1" s="46"/>
      <c r="E1" s="46"/>
      <c r="F1" s="46"/>
      <c r="G1" s="46"/>
      <c r="H1" s="46"/>
      <c r="I1" s="46"/>
      <c r="J1" s="46"/>
    </row>
    <row r="2" spans="1:11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1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1" ht="18.75" customHeight="1">
      <c r="A4" s="45" t="s">
        <v>0</v>
      </c>
      <c r="B4" s="47" t="s">
        <v>96</v>
      </c>
      <c r="C4" s="48"/>
      <c r="D4" s="48"/>
      <c r="E4" s="49" t="s">
        <v>87</v>
      </c>
      <c r="F4" s="49"/>
      <c r="G4" s="49"/>
      <c r="H4" s="49"/>
      <c r="I4" s="50" t="s">
        <v>85</v>
      </c>
      <c r="J4" s="42" t="s">
        <v>99</v>
      </c>
    </row>
    <row r="5" spans="1:11" ht="54">
      <c r="A5" s="45"/>
      <c r="B5" s="2" t="s">
        <v>1</v>
      </c>
      <c r="C5" s="23" t="s">
        <v>2</v>
      </c>
      <c r="D5" s="45" t="s">
        <v>97</v>
      </c>
      <c r="E5" s="3" t="s">
        <v>1</v>
      </c>
      <c r="F5" s="3" t="s">
        <v>2</v>
      </c>
      <c r="G5" s="4"/>
      <c r="H5" s="45" t="s">
        <v>90</v>
      </c>
      <c r="I5" s="50"/>
      <c r="J5" s="43"/>
    </row>
    <row r="6" spans="1:11" ht="199.2" customHeight="1">
      <c r="A6" s="45"/>
      <c r="B6" s="5" t="s">
        <v>3</v>
      </c>
      <c r="C6" s="24" t="s">
        <v>3</v>
      </c>
      <c r="D6" s="45"/>
      <c r="E6" s="6" t="s">
        <v>3</v>
      </c>
      <c r="F6" s="6" t="s">
        <v>3</v>
      </c>
      <c r="G6" s="4"/>
      <c r="H6" s="45"/>
      <c r="I6" s="50"/>
      <c r="J6" s="44"/>
    </row>
    <row r="7" spans="1:11" ht="18.600000000000001" thickBot="1">
      <c r="A7" s="3" t="s">
        <v>4</v>
      </c>
      <c r="B7" s="33">
        <v>3</v>
      </c>
      <c r="C7" s="34">
        <v>4</v>
      </c>
      <c r="D7" s="35" t="s">
        <v>93</v>
      </c>
      <c r="E7" s="36" t="s">
        <v>5</v>
      </c>
      <c r="F7" s="36" t="s">
        <v>6</v>
      </c>
      <c r="G7" s="37"/>
      <c r="H7" s="37">
        <v>8</v>
      </c>
      <c r="I7" s="38" t="s">
        <v>94</v>
      </c>
      <c r="J7" s="38" t="s">
        <v>95</v>
      </c>
    </row>
    <row r="8" spans="1:11">
      <c r="A8" s="7" t="s">
        <v>7</v>
      </c>
      <c r="B8" s="8">
        <f>22403829418.82/1000</f>
        <v>22403829.418820001</v>
      </c>
      <c r="C8" s="8">
        <f>22175848322.92/1000</f>
        <v>22175848.322919998</v>
      </c>
      <c r="D8" s="25">
        <f>C8/B8*100</f>
        <v>98.982401215265043</v>
      </c>
      <c r="E8" s="39">
        <v>18367172.013490003</v>
      </c>
      <c r="F8" s="39">
        <v>19158545.768070001</v>
      </c>
      <c r="G8" s="9"/>
      <c r="H8" s="32">
        <f>F8/E8*100</f>
        <v>104.30863147575884</v>
      </c>
      <c r="I8" s="11">
        <f>C8-F8</f>
        <v>3017302.5548499972</v>
      </c>
      <c r="J8" s="11">
        <f>I8/F8</f>
        <v>0.15749120999980548</v>
      </c>
      <c r="K8" s="27"/>
    </row>
    <row r="9" spans="1:11">
      <c r="A9" s="12" t="s">
        <v>8</v>
      </c>
      <c r="B9" s="13"/>
      <c r="C9" s="13"/>
      <c r="D9" s="25"/>
      <c r="E9" s="13"/>
      <c r="F9" s="13"/>
      <c r="G9" s="9"/>
      <c r="H9" s="32"/>
      <c r="I9" s="11"/>
      <c r="J9" s="11"/>
      <c r="K9" s="27"/>
    </row>
    <row r="10" spans="1:11">
      <c r="A10" s="14" t="s">
        <v>9</v>
      </c>
      <c r="B10" s="15">
        <f>9952880064.52/1000</f>
        <v>9952880.0645199995</v>
      </c>
      <c r="C10" s="15">
        <f>10324173983.91/1000</f>
        <v>10324173.98391</v>
      </c>
      <c r="D10" s="25">
        <f t="shared" ref="D10:D72" si="0">C10/B10*100</f>
        <v>103.73051736766716</v>
      </c>
      <c r="E10" s="40">
        <v>7347087.4732100004</v>
      </c>
      <c r="F10" s="40">
        <v>8386589.7647399995</v>
      </c>
      <c r="G10" s="9"/>
      <c r="H10" s="32">
        <f t="shared" ref="H10:H73" si="1">F10/E10*100</f>
        <v>114.14849483309379</v>
      </c>
      <c r="I10" s="11">
        <f t="shared" ref="I10:I73" si="2">C10-F10</f>
        <v>1937584.2191700004</v>
      </c>
      <c r="J10" s="11">
        <f t="shared" ref="J10:J73" si="3">I10/F10</f>
        <v>0.23103362314396803</v>
      </c>
      <c r="K10" s="27"/>
    </row>
    <row r="11" spans="1:11">
      <c r="A11" s="14" t="s">
        <v>84</v>
      </c>
      <c r="B11" s="15">
        <f>3917282946.88/1000</f>
        <v>3917282.9468800002</v>
      </c>
      <c r="C11" s="15">
        <f>4146595272.01/1000</f>
        <v>4146595.2720100004</v>
      </c>
      <c r="D11" s="25">
        <f t="shared" si="0"/>
        <v>105.8538616750327</v>
      </c>
      <c r="E11" s="40">
        <v>3182219.9378299997</v>
      </c>
      <c r="F11" s="40">
        <v>3850541.5401599999</v>
      </c>
      <c r="G11" s="9"/>
      <c r="H11" s="32">
        <f t="shared" si="1"/>
        <v>121.00174140652697</v>
      </c>
      <c r="I11" s="11">
        <f t="shared" si="2"/>
        <v>296053.73185000056</v>
      </c>
      <c r="J11" s="11">
        <f t="shared" si="3"/>
        <v>7.6886258403460514E-2</v>
      </c>
      <c r="K11" s="27"/>
    </row>
    <row r="12" spans="1:11">
      <c r="A12" s="14" t="s">
        <v>83</v>
      </c>
      <c r="B12" s="15">
        <f>52319039.98/1000</f>
        <v>52319.039979999994</v>
      </c>
      <c r="C12" s="15">
        <f>56184452.74/1000</f>
        <v>56184.452740000001</v>
      </c>
      <c r="D12" s="25">
        <f t="shared" si="0"/>
        <v>107.3881568956113</v>
      </c>
      <c r="E12" s="40">
        <v>37292.514139999999</v>
      </c>
      <c r="F12" s="40">
        <v>42824.242659999996</v>
      </c>
      <c r="G12" s="9"/>
      <c r="H12" s="32">
        <f t="shared" si="1"/>
        <v>114.83334832088099</v>
      </c>
      <c r="I12" s="11">
        <f t="shared" si="2"/>
        <v>13360.210080000004</v>
      </c>
      <c r="J12" s="11">
        <f t="shared" si="3"/>
        <v>0.31197773154034347</v>
      </c>
    </row>
    <row r="13" spans="1:11">
      <c r="A13" s="14" t="s">
        <v>10</v>
      </c>
      <c r="B13" s="15">
        <f>2763317270.33/1000</f>
        <v>2763317.2703299997</v>
      </c>
      <c r="C13" s="15">
        <f>2793950003.01/1000</f>
        <v>2793950.0030100001</v>
      </c>
      <c r="D13" s="25">
        <f t="shared" si="0"/>
        <v>101.10854924293011</v>
      </c>
      <c r="E13" s="40">
        <v>1753631.6435</v>
      </c>
      <c r="F13" s="40">
        <v>1804815.4544200001</v>
      </c>
      <c r="G13" s="9"/>
      <c r="H13" s="32">
        <f t="shared" si="1"/>
        <v>102.9187321698783</v>
      </c>
      <c r="I13" s="11">
        <f t="shared" si="2"/>
        <v>989134.54859000002</v>
      </c>
      <c r="J13" s="11">
        <f t="shared" si="3"/>
        <v>0.54805301349099467</v>
      </c>
    </row>
    <row r="14" spans="1:11">
      <c r="A14" s="14" t="s">
        <v>11</v>
      </c>
      <c r="B14" s="15">
        <f>1743976159.03/1000</f>
        <v>1743976.15903</v>
      </c>
      <c r="C14" s="15">
        <f>1814102225.65/1000</f>
        <v>1814102.2256500002</v>
      </c>
      <c r="D14" s="25">
        <f t="shared" si="0"/>
        <v>104.02104502730154</v>
      </c>
      <c r="E14" s="40">
        <v>1407382.46422</v>
      </c>
      <c r="F14" s="40">
        <v>1617338.8709500001</v>
      </c>
      <c r="G14" s="9"/>
      <c r="H14" s="32">
        <f t="shared" si="1"/>
        <v>114.91821960751531</v>
      </c>
      <c r="I14" s="11">
        <f t="shared" si="2"/>
        <v>196763.35470000003</v>
      </c>
      <c r="J14" s="11">
        <f t="shared" si="3"/>
        <v>0.12165870630712303</v>
      </c>
    </row>
    <row r="15" spans="1:11">
      <c r="A15" s="14" t="s">
        <v>12</v>
      </c>
      <c r="B15" s="15">
        <f>74871500/1000</f>
        <v>74871.5</v>
      </c>
      <c r="C15" s="15">
        <f>78140363.61/1000</f>
        <v>78140.36361</v>
      </c>
      <c r="D15" s="25">
        <f t="shared" si="0"/>
        <v>104.36596516698611</v>
      </c>
      <c r="E15" s="40">
        <v>63905.42</v>
      </c>
      <c r="F15" s="40">
        <v>65123.445469999999</v>
      </c>
      <c r="G15" s="9"/>
      <c r="H15" s="32">
        <f t="shared" si="1"/>
        <v>101.9059814801311</v>
      </c>
      <c r="I15" s="11">
        <f t="shared" si="2"/>
        <v>13016.918140000002</v>
      </c>
      <c r="J15" s="11">
        <f t="shared" si="3"/>
        <v>0.19988067348181726</v>
      </c>
    </row>
    <row r="16" spans="1:11" ht="54">
      <c r="A16" s="14" t="s">
        <v>13</v>
      </c>
      <c r="B16" s="15">
        <f>6771.02/1000</f>
        <v>6.77102</v>
      </c>
      <c r="C16" s="15">
        <f>29030.11/1000</f>
        <v>29.030110000000001</v>
      </c>
      <c r="D16" s="25">
        <f t="shared" si="0"/>
        <v>428.74057379833471</v>
      </c>
      <c r="E16" s="15">
        <v>0</v>
      </c>
      <c r="F16" s="15">
        <v>0</v>
      </c>
      <c r="G16" s="9"/>
      <c r="H16" s="32">
        <v>0</v>
      </c>
      <c r="I16" s="11">
        <f t="shared" si="2"/>
        <v>29.030110000000001</v>
      </c>
      <c r="J16" s="11">
        <v>0</v>
      </c>
    </row>
    <row r="17" spans="1:11" ht="54">
      <c r="A17" s="14" t="s">
        <v>14</v>
      </c>
      <c r="B17" s="15">
        <f>537952815.87/1000</f>
        <v>537952.81587000005</v>
      </c>
      <c r="C17" s="15">
        <f>546329500.56/1000</f>
        <v>546329.50055999996</v>
      </c>
      <c r="D17" s="25">
        <f t="shared" si="0"/>
        <v>101.55714115492691</v>
      </c>
      <c r="E17" s="40">
        <v>445932.69789000001</v>
      </c>
      <c r="F17" s="40">
        <v>503442.16004000005</v>
      </c>
      <c r="G17" s="9"/>
      <c r="H17" s="32">
        <f t="shared" si="1"/>
        <v>112.89644433389053</v>
      </c>
      <c r="I17" s="11">
        <f t="shared" si="2"/>
        <v>42887.340519999911</v>
      </c>
      <c r="J17" s="11">
        <f t="shared" si="3"/>
        <v>8.5188218079694358E-2</v>
      </c>
    </row>
    <row r="18" spans="1:11" ht="36">
      <c r="A18" s="14" t="s">
        <v>15</v>
      </c>
      <c r="B18" s="15">
        <f>42100000/1000</f>
        <v>42100</v>
      </c>
      <c r="C18" s="15">
        <f>42181084.66/1000</f>
        <v>42181.084659999993</v>
      </c>
      <c r="D18" s="25">
        <f t="shared" si="0"/>
        <v>100.1926001425178</v>
      </c>
      <c r="E18" s="40">
        <v>41800</v>
      </c>
      <c r="F18" s="40">
        <v>41532.062130000006</v>
      </c>
      <c r="G18" s="9"/>
      <c r="H18" s="32">
        <f t="shared" si="1"/>
        <v>99.359000311004792</v>
      </c>
      <c r="I18" s="11">
        <f t="shared" si="2"/>
        <v>649.02252999998746</v>
      </c>
      <c r="J18" s="11">
        <f>I18/F18</f>
        <v>1.5627023959669382E-2</v>
      </c>
    </row>
    <row r="19" spans="1:11" ht="36">
      <c r="A19" s="14" t="s">
        <v>16</v>
      </c>
      <c r="B19" s="15">
        <f>35268939.86/1000</f>
        <v>35268.939859999999</v>
      </c>
      <c r="C19" s="15">
        <f>35487632.61/1000</f>
        <v>35487.632610000001</v>
      </c>
      <c r="D19" s="25">
        <f t="shared" si="0"/>
        <v>100.62007179934555</v>
      </c>
      <c r="E19" s="40">
        <v>29152.96198</v>
      </c>
      <c r="F19" s="40">
        <v>34194.948830000001</v>
      </c>
      <c r="G19" s="9"/>
      <c r="H19" s="32">
        <f t="shared" si="1"/>
        <v>117.29493851588386</v>
      </c>
      <c r="I19" s="11">
        <f t="shared" si="2"/>
        <v>1292.6837799999994</v>
      </c>
      <c r="J19" s="11">
        <f t="shared" si="3"/>
        <v>3.7803354712608858E-2</v>
      </c>
    </row>
    <row r="20" spans="1:11" ht="36">
      <c r="A20" s="14" t="s">
        <v>17</v>
      </c>
      <c r="B20" s="15">
        <f>736174844.86/1000</f>
        <v>736174.84486000007</v>
      </c>
      <c r="C20" s="15">
        <f>753449037.33/1000</f>
        <v>753449.03733000008</v>
      </c>
      <c r="D20" s="25">
        <f t="shared" si="0"/>
        <v>102.34647958845771</v>
      </c>
      <c r="E20" s="40">
        <v>328390.85531000001</v>
      </c>
      <c r="F20" s="40">
        <v>357804.17700000003</v>
      </c>
      <c r="G20" s="9"/>
      <c r="H20" s="32">
        <f t="shared" si="1"/>
        <v>108.95680291165048</v>
      </c>
      <c r="I20" s="11">
        <f t="shared" si="2"/>
        <v>395644.86033000005</v>
      </c>
      <c r="J20" s="11">
        <f t="shared" si="3"/>
        <v>1.1057580815497301</v>
      </c>
    </row>
    <row r="21" spans="1:11">
      <c r="A21" s="14" t="s">
        <v>18</v>
      </c>
      <c r="B21" s="15">
        <f>21532313.58/1000</f>
        <v>21532.313579999998</v>
      </c>
      <c r="C21" s="15">
        <f>19840257.71/1000</f>
        <v>19840.257710000002</v>
      </c>
      <c r="D21" s="25">
        <f t="shared" si="0"/>
        <v>92.141783261174311</v>
      </c>
      <c r="E21" s="40">
        <v>27603.311000000002</v>
      </c>
      <c r="F21" s="40">
        <v>37579.835149999999</v>
      </c>
      <c r="G21" s="9"/>
      <c r="H21" s="32">
        <f t="shared" si="1"/>
        <v>136.14249084104441</v>
      </c>
      <c r="I21" s="11">
        <f t="shared" si="2"/>
        <v>-17739.577439999997</v>
      </c>
      <c r="J21" s="11">
        <f t="shared" si="3"/>
        <v>-0.47205043261079865</v>
      </c>
    </row>
    <row r="22" spans="1:11">
      <c r="A22" s="14" t="s">
        <v>19</v>
      </c>
      <c r="B22" s="15">
        <f>28077463.11/1000</f>
        <v>28077.463110000001</v>
      </c>
      <c r="C22" s="15">
        <f>37885123.91/1000</f>
        <v>37885.123909999995</v>
      </c>
      <c r="D22" s="25">
        <f t="shared" si="0"/>
        <v>134.93072277070118</v>
      </c>
      <c r="E22" s="40">
        <v>29775.66734</v>
      </c>
      <c r="F22" s="40">
        <v>31392.984109999998</v>
      </c>
      <c r="G22" s="9"/>
      <c r="H22" s="32">
        <f t="shared" si="1"/>
        <v>105.43167261889485</v>
      </c>
      <c r="I22" s="11">
        <f t="shared" si="2"/>
        <v>6492.1397999999972</v>
      </c>
      <c r="J22" s="11">
        <f t="shared" si="3"/>
        <v>0.20680225165125271</v>
      </c>
    </row>
    <row r="23" spans="1:11">
      <c r="A23" s="14" t="s">
        <v>20</v>
      </c>
      <c r="B23" s="15">
        <f>12450949354.3/1000</f>
        <v>12450949.3543</v>
      </c>
      <c r="C23" s="15">
        <f>11851674339.01/1000</f>
        <v>11851674.33901</v>
      </c>
      <c r="D23" s="25">
        <f t="shared" si="0"/>
        <v>95.186913075965279</v>
      </c>
      <c r="E23" s="40">
        <v>11020084.540280001</v>
      </c>
      <c r="F23" s="40">
        <v>10771956.00333</v>
      </c>
      <c r="G23" s="9"/>
      <c r="H23" s="32">
        <f t="shared" si="1"/>
        <v>97.748397155729108</v>
      </c>
      <c r="I23" s="11">
        <f t="shared" si="2"/>
        <v>1079718.3356800005</v>
      </c>
      <c r="J23" s="11">
        <f t="shared" si="3"/>
        <v>0.10023419473178508</v>
      </c>
    </row>
    <row r="24" spans="1:11">
      <c r="A24" s="14" t="s">
        <v>91</v>
      </c>
      <c r="B24" s="15"/>
      <c r="C24" s="15"/>
      <c r="D24" s="25"/>
      <c r="E24" s="40">
        <v>861.67706999999996</v>
      </c>
      <c r="F24" s="40">
        <v>861.67706999999996</v>
      </c>
      <c r="G24" s="9"/>
      <c r="H24" s="32"/>
      <c r="I24" s="11">
        <f t="shared" si="2"/>
        <v>-861.67706999999996</v>
      </c>
      <c r="J24" s="11">
        <f t="shared" si="3"/>
        <v>-1</v>
      </c>
    </row>
    <row r="25" spans="1:11" ht="54">
      <c r="A25" s="14" t="s">
        <v>21</v>
      </c>
      <c r="B25" s="15">
        <f>12427237974.3/1000</f>
        <v>12427237.974299999</v>
      </c>
      <c r="C25" s="15">
        <f>11918952875.48/1000</f>
        <v>11918952.87548</v>
      </c>
      <c r="D25" s="25">
        <f t="shared" si="0"/>
        <v>95.909910956311023</v>
      </c>
      <c r="E25" s="40">
        <v>10989054.863209998</v>
      </c>
      <c r="F25" s="40">
        <v>10768422.60014</v>
      </c>
      <c r="G25" s="9"/>
      <c r="H25" s="32">
        <f t="shared" si="1"/>
        <v>97.992254422091861</v>
      </c>
      <c r="I25" s="11">
        <f t="shared" si="2"/>
        <v>1150530.2753400002</v>
      </c>
      <c r="J25" s="11">
        <f t="shared" si="3"/>
        <v>0.10684297209184956</v>
      </c>
    </row>
    <row r="26" spans="1:11">
      <c r="A26" s="14" t="s">
        <v>22</v>
      </c>
      <c r="B26" s="15">
        <f>23711380/1000</f>
        <v>23711.38</v>
      </c>
      <c r="C26" s="15">
        <f>26309399.85/1000</f>
        <v>26309.399850000002</v>
      </c>
      <c r="D26" s="25">
        <f t="shared" si="0"/>
        <v>110.9568479354639</v>
      </c>
      <c r="E26" s="40">
        <v>30168</v>
      </c>
      <c r="F26" s="40">
        <v>39324.003880000004</v>
      </c>
      <c r="G26" s="9"/>
      <c r="H26" s="32">
        <f t="shared" si="1"/>
        <v>130.35005263855743</v>
      </c>
      <c r="I26" s="11">
        <f t="shared" si="2"/>
        <v>-13014.604030000002</v>
      </c>
      <c r="J26" s="11">
        <f t="shared" si="3"/>
        <v>-0.33095826329676381</v>
      </c>
      <c r="K26" s="27"/>
    </row>
    <row r="27" spans="1:11" ht="108">
      <c r="A27" s="14" t="s">
        <v>23</v>
      </c>
      <c r="B27" s="15">
        <v>0</v>
      </c>
      <c r="C27" s="15">
        <f>520101.35/1000</f>
        <v>520.10135000000002</v>
      </c>
      <c r="D27" s="25">
        <v>0</v>
      </c>
      <c r="E27" s="15">
        <v>0</v>
      </c>
      <c r="F27" s="40">
        <v>0.28602</v>
      </c>
      <c r="G27" s="9"/>
      <c r="H27" s="32">
        <v>0</v>
      </c>
      <c r="I27" s="11">
        <f t="shared" si="2"/>
        <v>519.81533000000002</v>
      </c>
      <c r="J27" s="11">
        <f t="shared" si="3"/>
        <v>1817.4090273407455</v>
      </c>
      <c r="K27" s="27"/>
    </row>
    <row r="28" spans="1:11" ht="54">
      <c r="A28" s="14" t="s">
        <v>24</v>
      </c>
      <c r="B28" s="15">
        <v>0</v>
      </c>
      <c r="C28" s="15">
        <f>-94108037.67/1000</f>
        <v>-94108.037670000005</v>
      </c>
      <c r="D28" s="25">
        <v>0</v>
      </c>
      <c r="E28" s="15">
        <v>0</v>
      </c>
      <c r="F28" s="40">
        <v>-36652.563780000004</v>
      </c>
      <c r="G28" s="9"/>
      <c r="H28" s="32">
        <v>0</v>
      </c>
      <c r="I28" s="11">
        <f t="shared" si="2"/>
        <v>-57455.473890000001</v>
      </c>
      <c r="J28" s="11">
        <f t="shared" si="3"/>
        <v>1.5675703952079718</v>
      </c>
    </row>
    <row r="29" spans="1:11" s="16" customFormat="1">
      <c r="A29" s="29" t="s">
        <v>25</v>
      </c>
      <c r="B29" s="15">
        <f>22789786304.15/1000</f>
        <v>22789786.30415</v>
      </c>
      <c r="C29" s="15">
        <f>21404107417.04/1000</f>
        <v>21404107.417040002</v>
      </c>
      <c r="D29" s="25">
        <f t="shared" si="0"/>
        <v>93.919737251517503</v>
      </c>
      <c r="E29" s="40">
        <v>19953856.51952</v>
      </c>
      <c r="F29" s="40">
        <v>18903717.204189997</v>
      </c>
      <c r="G29" s="20"/>
      <c r="H29" s="32">
        <f t="shared" si="1"/>
        <v>94.737161138235621</v>
      </c>
      <c r="I29" s="11">
        <f t="shared" si="2"/>
        <v>2500390.2128500044</v>
      </c>
      <c r="J29" s="11">
        <f t="shared" si="3"/>
        <v>0.13226976397508711</v>
      </c>
    </row>
    <row r="30" spans="1:11" s="16" customFormat="1">
      <c r="A30" s="30" t="s">
        <v>8</v>
      </c>
      <c r="B30" s="28"/>
      <c r="C30" s="28"/>
      <c r="D30" s="25"/>
      <c r="E30" s="28"/>
      <c r="F30" s="28"/>
      <c r="G30" s="20"/>
      <c r="H30" s="32"/>
      <c r="I30" s="11"/>
      <c r="J30" s="11"/>
    </row>
    <row r="31" spans="1:11" s="16" customFormat="1">
      <c r="A31" s="14" t="s">
        <v>26</v>
      </c>
      <c r="B31" s="15">
        <f>2110644591.69/1000</f>
        <v>2110644.5916900001</v>
      </c>
      <c r="C31" s="15">
        <f>1894412337.7/1000</f>
        <v>1894412.3377</v>
      </c>
      <c r="D31" s="25">
        <f t="shared" si="0"/>
        <v>89.755155612586478</v>
      </c>
      <c r="E31" s="40">
        <v>1780005.28532</v>
      </c>
      <c r="F31" s="40">
        <v>1653557.4045899999</v>
      </c>
      <c r="G31" s="20"/>
      <c r="H31" s="32">
        <f t="shared" si="1"/>
        <v>92.896207568997866</v>
      </c>
      <c r="I31" s="11">
        <f t="shared" si="2"/>
        <v>240854.9331100001</v>
      </c>
      <c r="J31" s="11">
        <f t="shared" si="3"/>
        <v>0.1456586462867433</v>
      </c>
      <c r="K31" s="31"/>
    </row>
    <row r="32" spans="1:11" s="16" customFormat="1" ht="36">
      <c r="A32" s="14" t="s">
        <v>27</v>
      </c>
      <c r="B32" s="15">
        <f>18196842.96/1000</f>
        <v>18196.842960000002</v>
      </c>
      <c r="C32" s="15">
        <f>17994995.76/1000</f>
        <v>17994.995760000002</v>
      </c>
      <c r="D32" s="25">
        <f t="shared" si="0"/>
        <v>98.890757037120679</v>
      </c>
      <c r="E32" s="40">
        <v>17188.454180000001</v>
      </c>
      <c r="F32" s="40">
        <v>17091.639449999999</v>
      </c>
      <c r="G32" s="20"/>
      <c r="H32" s="32">
        <f t="shared" si="1"/>
        <v>99.436745567773897</v>
      </c>
      <c r="I32" s="11">
        <f t="shared" si="2"/>
        <v>903.35631000000285</v>
      </c>
      <c r="J32" s="11">
        <f t="shared" si="3"/>
        <v>5.2853695670487769E-2</v>
      </c>
      <c r="K32" s="31"/>
    </row>
    <row r="33" spans="1:11" s="16" customFormat="1" ht="54">
      <c r="A33" s="14" t="s">
        <v>28</v>
      </c>
      <c r="B33" s="15">
        <f>122827135.75/1000</f>
        <v>122827.13575</v>
      </c>
      <c r="C33" s="15">
        <f>112422772.56/1000</f>
        <v>112422.77256</v>
      </c>
      <c r="D33" s="25">
        <f t="shared" si="0"/>
        <v>91.529263361496234</v>
      </c>
      <c r="E33" s="40">
        <v>108880.75568999999</v>
      </c>
      <c r="F33" s="40">
        <v>103603.22728000001</v>
      </c>
      <c r="G33" s="20"/>
      <c r="H33" s="32">
        <f t="shared" si="1"/>
        <v>95.152928195111073</v>
      </c>
      <c r="I33" s="11">
        <f t="shared" si="2"/>
        <v>8819.5452799999912</v>
      </c>
      <c r="J33" s="11">
        <f t="shared" si="3"/>
        <v>8.5128094090776957E-2</v>
      </c>
      <c r="K33" s="31"/>
    </row>
    <row r="34" spans="1:11" s="16" customFormat="1" ht="54">
      <c r="A34" s="14" t="s">
        <v>29</v>
      </c>
      <c r="B34" s="15">
        <f>846089291.49/1000</f>
        <v>846089.29148999997</v>
      </c>
      <c r="C34" s="15">
        <f>806310405.42/1000</f>
        <v>806310.40541999997</v>
      </c>
      <c r="D34" s="25">
        <f t="shared" si="0"/>
        <v>95.298500232765306</v>
      </c>
      <c r="E34" s="40">
        <v>715390.50551000005</v>
      </c>
      <c r="F34" s="40">
        <v>701471.96935000003</v>
      </c>
      <c r="G34" s="20"/>
      <c r="H34" s="32">
        <f t="shared" si="1"/>
        <v>98.054414190180296</v>
      </c>
      <c r="I34" s="11">
        <f t="shared" si="2"/>
        <v>104838.43606999994</v>
      </c>
      <c r="J34" s="11">
        <f t="shared" si="3"/>
        <v>0.14945491858661955</v>
      </c>
    </row>
    <row r="35" spans="1:11" s="16" customFormat="1">
      <c r="A35" s="14" t="s">
        <v>30</v>
      </c>
      <c r="B35" s="15">
        <f>496900/1000</f>
        <v>496.9</v>
      </c>
      <c r="C35" s="15">
        <f>419780/1000</f>
        <v>419.78</v>
      </c>
      <c r="D35" s="25">
        <f t="shared" si="0"/>
        <v>84.479774602535713</v>
      </c>
      <c r="E35" s="40">
        <v>325</v>
      </c>
      <c r="F35" s="40">
        <v>122.264</v>
      </c>
      <c r="G35" s="20"/>
      <c r="H35" s="32">
        <f t="shared" si="1"/>
        <v>37.619692307692304</v>
      </c>
      <c r="I35" s="11">
        <f t="shared" si="2"/>
        <v>297.51599999999996</v>
      </c>
      <c r="J35" s="11">
        <f t="shared" si="3"/>
        <v>2.4333900412222729</v>
      </c>
    </row>
    <row r="36" spans="1:11" s="16" customFormat="1" ht="54">
      <c r="A36" s="14" t="s">
        <v>31</v>
      </c>
      <c r="B36" s="15">
        <f>74023600.14/1000</f>
        <v>74023.600139999995</v>
      </c>
      <c r="C36" s="15">
        <f>72138548.84/1000</f>
        <v>72138.548840000003</v>
      </c>
      <c r="D36" s="25">
        <f t="shared" si="0"/>
        <v>97.453445527595505</v>
      </c>
      <c r="E36" s="40">
        <v>69664.774650000007</v>
      </c>
      <c r="F36" s="40">
        <v>65622.716010000004</v>
      </c>
      <c r="G36" s="20"/>
      <c r="H36" s="32">
        <f t="shared" si="1"/>
        <v>94.197844376433366</v>
      </c>
      <c r="I36" s="11">
        <f t="shared" si="2"/>
        <v>6515.8328299999994</v>
      </c>
      <c r="J36" s="11">
        <f t="shared" si="3"/>
        <v>9.929233695549991E-2</v>
      </c>
    </row>
    <row r="37" spans="1:11" s="16" customFormat="1">
      <c r="A37" s="14" t="s">
        <v>32</v>
      </c>
      <c r="B37" s="15">
        <f>6945996.31/1000</f>
        <v>6945.9963099999995</v>
      </c>
      <c r="C37" s="15">
        <f>6868782.83/1000</f>
        <v>6868.7828300000001</v>
      </c>
      <c r="D37" s="25">
        <f t="shared" si="0"/>
        <v>98.88837430148304</v>
      </c>
      <c r="E37" s="40">
        <v>3055.0577499999999</v>
      </c>
      <c r="F37" s="40">
        <v>3055.0574300000003</v>
      </c>
      <c r="G37" s="20"/>
      <c r="H37" s="32">
        <f t="shared" si="1"/>
        <v>99.999989525566264</v>
      </c>
      <c r="I37" s="11">
        <f t="shared" si="2"/>
        <v>3813.7253999999998</v>
      </c>
      <c r="J37" s="11">
        <f t="shared" si="3"/>
        <v>1.2483318194119839</v>
      </c>
    </row>
    <row r="38" spans="1:11" s="16" customFormat="1">
      <c r="A38" s="14" t="s">
        <v>33</v>
      </c>
      <c r="B38" s="15">
        <f>40875530.27/1000</f>
        <v>40875.530270000003</v>
      </c>
      <c r="C38" s="15">
        <v>0</v>
      </c>
      <c r="D38" s="25">
        <f t="shared" si="0"/>
        <v>0</v>
      </c>
      <c r="E38" s="40">
        <v>47381.331420000002</v>
      </c>
      <c r="F38" s="15">
        <v>0</v>
      </c>
      <c r="G38" s="20"/>
      <c r="H38" s="32">
        <f t="shared" si="1"/>
        <v>0</v>
      </c>
      <c r="I38" s="11">
        <f t="shared" si="2"/>
        <v>0</v>
      </c>
      <c r="J38" s="11">
        <v>0</v>
      </c>
    </row>
    <row r="39" spans="1:11" s="16" customFormat="1">
      <c r="A39" s="14" t="s">
        <v>34</v>
      </c>
      <c r="B39" s="15">
        <f>1001189294.77/1000</f>
        <v>1001189.29477</v>
      </c>
      <c r="C39" s="15">
        <f>878257052.29/1000</f>
        <v>878257.05228999991</v>
      </c>
      <c r="D39" s="25">
        <f t="shared" si="0"/>
        <v>87.721378652151799</v>
      </c>
      <c r="E39" s="40">
        <v>818119.40612000006</v>
      </c>
      <c r="F39" s="40">
        <v>762590.53107000003</v>
      </c>
      <c r="G39" s="20"/>
      <c r="H39" s="32">
        <f t="shared" si="1"/>
        <v>93.212619742960214</v>
      </c>
      <c r="I39" s="11">
        <f t="shared" si="2"/>
        <v>115666.52121999988</v>
      </c>
      <c r="J39" s="11">
        <f t="shared" si="3"/>
        <v>0.15167578996516884</v>
      </c>
    </row>
    <row r="40" spans="1:11" s="16" customFormat="1">
      <c r="A40" s="14" t="s">
        <v>35</v>
      </c>
      <c r="B40" s="15">
        <f>15460200/1000</f>
        <v>15460.2</v>
      </c>
      <c r="C40" s="15">
        <f>15456169/1000</f>
        <v>15456.169</v>
      </c>
      <c r="D40" s="25">
        <f t="shared" si="0"/>
        <v>99.973926598620963</v>
      </c>
      <c r="E40" s="40">
        <v>14365.8</v>
      </c>
      <c r="F40" s="40">
        <v>14114.84539</v>
      </c>
      <c r="G40" s="20"/>
      <c r="H40" s="32">
        <f t="shared" si="1"/>
        <v>98.253110790906177</v>
      </c>
      <c r="I40" s="11">
        <f t="shared" si="2"/>
        <v>1341.3236099999995</v>
      </c>
      <c r="J40" s="11">
        <f t="shared" si="3"/>
        <v>9.502928108233423E-2</v>
      </c>
    </row>
    <row r="41" spans="1:11" s="16" customFormat="1">
      <c r="A41" s="14" t="s">
        <v>36</v>
      </c>
      <c r="B41" s="15">
        <f>15460200/1000</f>
        <v>15460.2</v>
      </c>
      <c r="C41" s="15">
        <f>15456169/1000</f>
        <v>15456.169</v>
      </c>
      <c r="D41" s="25">
        <f t="shared" si="0"/>
        <v>99.973926598620963</v>
      </c>
      <c r="E41" s="40">
        <v>14365.8</v>
      </c>
      <c r="F41" s="40">
        <v>14114.84539</v>
      </c>
      <c r="G41" s="20"/>
      <c r="H41" s="32">
        <f t="shared" si="1"/>
        <v>98.253110790906177</v>
      </c>
      <c r="I41" s="11">
        <f t="shared" si="2"/>
        <v>1341.3236099999995</v>
      </c>
      <c r="J41" s="11">
        <f t="shared" si="3"/>
        <v>9.502928108233423E-2</v>
      </c>
    </row>
    <row r="42" spans="1:11" s="16" customFormat="1" ht="36">
      <c r="A42" s="14" t="s">
        <v>37</v>
      </c>
      <c r="B42" s="15">
        <f>147057270.88/1000</f>
        <v>147057.27088</v>
      </c>
      <c r="C42" s="15">
        <f>131717183.73/1000</f>
        <v>131717.18372999999</v>
      </c>
      <c r="D42" s="25">
        <f t="shared" si="0"/>
        <v>89.568630603435011</v>
      </c>
      <c r="E42" s="40">
        <v>136499.57538999998</v>
      </c>
      <c r="F42" s="40">
        <v>110208.85270999999</v>
      </c>
      <c r="G42" s="20"/>
      <c r="H42" s="32">
        <f t="shared" si="1"/>
        <v>80.739337389963737</v>
      </c>
      <c r="I42" s="11">
        <f t="shared" si="2"/>
        <v>21508.331019999998</v>
      </c>
      <c r="J42" s="11">
        <f t="shared" si="3"/>
        <v>0.19515973981324644</v>
      </c>
    </row>
    <row r="43" spans="1:11" s="16" customFormat="1" ht="36">
      <c r="A43" s="14" t="s">
        <v>38</v>
      </c>
      <c r="B43" s="15">
        <f>65052956.74/1000</f>
        <v>65052.956740000001</v>
      </c>
      <c r="C43" s="15">
        <f>55399290.91/1000</f>
        <v>55399.290909999996</v>
      </c>
      <c r="D43" s="25">
        <f t="shared" si="0"/>
        <v>85.160296604836532</v>
      </c>
      <c r="E43" s="40">
        <v>84094.475999999995</v>
      </c>
      <c r="F43" s="40">
        <v>84094.475999999995</v>
      </c>
      <c r="G43" s="20"/>
      <c r="H43" s="32">
        <f t="shared" si="1"/>
        <v>100</v>
      </c>
      <c r="I43" s="11">
        <f t="shared" si="2"/>
        <v>-28695.185089999999</v>
      </c>
      <c r="J43" s="11">
        <f t="shared" si="3"/>
        <v>-0.34122556504187029</v>
      </c>
    </row>
    <row r="44" spans="1:11" s="16" customFormat="1">
      <c r="A44" s="14" t="s">
        <v>39</v>
      </c>
      <c r="B44" s="15">
        <f>38624598.79/1000</f>
        <v>38624.598789999996</v>
      </c>
      <c r="C44" s="15">
        <f>36436702.57/1000</f>
        <v>36436.702570000001</v>
      </c>
      <c r="D44" s="25">
        <f t="shared" si="0"/>
        <v>94.335484927894058</v>
      </c>
      <c r="E44" s="40">
        <v>27533.412760000003</v>
      </c>
      <c r="F44" s="40">
        <v>24274.423420000003</v>
      </c>
      <c r="G44" s="20"/>
      <c r="H44" s="32">
        <f t="shared" si="1"/>
        <v>88.163511118626772</v>
      </c>
      <c r="I44" s="11">
        <f t="shared" si="2"/>
        <v>12162.279149999998</v>
      </c>
      <c r="J44" s="11">
        <f t="shared" si="3"/>
        <v>0.5010326688122011</v>
      </c>
    </row>
    <row r="45" spans="1:11" s="16" customFormat="1" ht="36">
      <c r="A45" s="14" t="s">
        <v>40</v>
      </c>
      <c r="B45" s="15">
        <f>43379715.35/1000</f>
        <v>43379.715349999999</v>
      </c>
      <c r="C45" s="15">
        <f>39881190.25/1000</f>
        <v>39881.19025</v>
      </c>
      <c r="D45" s="25">
        <f t="shared" si="0"/>
        <v>91.935112824570439</v>
      </c>
      <c r="E45" s="40">
        <v>24871.68663</v>
      </c>
      <c r="F45" s="40">
        <v>24225.41894</v>
      </c>
      <c r="G45" s="20"/>
      <c r="H45" s="32">
        <f t="shared" si="1"/>
        <v>97.401592824748448</v>
      </c>
      <c r="I45" s="11">
        <f t="shared" si="2"/>
        <v>15655.77131</v>
      </c>
      <c r="J45" s="11">
        <f t="shared" si="3"/>
        <v>0.64625389343215212</v>
      </c>
    </row>
    <row r="46" spans="1:11" s="16" customFormat="1">
      <c r="A46" s="14" t="s">
        <v>41</v>
      </c>
      <c r="B46" s="15">
        <f>1172036389.74/1000</f>
        <v>1172036.38974</v>
      </c>
      <c r="C46" s="15">
        <f>972429625.49/1000</f>
        <v>972429.62549000001</v>
      </c>
      <c r="D46" s="25">
        <f t="shared" si="0"/>
        <v>82.969234914772571</v>
      </c>
      <c r="E46" s="40">
        <v>1165757.83048</v>
      </c>
      <c r="F46" s="40">
        <v>998714.49951999995</v>
      </c>
      <c r="G46" s="20"/>
      <c r="H46" s="32">
        <f t="shared" si="1"/>
        <v>85.670837750991552</v>
      </c>
      <c r="I46" s="11">
        <f t="shared" si="2"/>
        <v>-26284.874029999948</v>
      </c>
      <c r="J46" s="11">
        <f t="shared" si="3"/>
        <v>-2.6318706740147389E-2</v>
      </c>
    </row>
    <row r="47" spans="1:11" s="16" customFormat="1">
      <c r="A47" s="14" t="s">
        <v>42</v>
      </c>
      <c r="B47" s="15">
        <f>280201.25/1000</f>
        <v>280.20125000000002</v>
      </c>
      <c r="C47" s="15">
        <f>267926.25/1000</f>
        <v>267.92624999999998</v>
      </c>
      <c r="D47" s="25">
        <f t="shared" si="0"/>
        <v>95.619220114114398</v>
      </c>
      <c r="E47" s="40">
        <v>340.82350000000002</v>
      </c>
      <c r="F47" s="40">
        <v>335.13940000000002</v>
      </c>
      <c r="G47" s="20"/>
      <c r="H47" s="32">
        <f t="shared" si="1"/>
        <v>98.332245282382218</v>
      </c>
      <c r="I47" s="11">
        <f t="shared" si="2"/>
        <v>-67.213150000000041</v>
      </c>
      <c r="J47" s="11">
        <f t="shared" si="3"/>
        <v>-0.2005528147391803</v>
      </c>
    </row>
    <row r="48" spans="1:11" s="16" customFormat="1">
      <c r="A48" s="14" t="s">
        <v>43</v>
      </c>
      <c r="B48" s="15">
        <f>15530000/1000</f>
        <v>15530</v>
      </c>
      <c r="C48" s="15">
        <f>15530000/1000</f>
        <v>15530</v>
      </c>
      <c r="D48" s="25">
        <f t="shared" si="0"/>
        <v>100</v>
      </c>
      <c r="E48" s="40">
        <v>13262</v>
      </c>
      <c r="F48" s="40">
        <v>13262</v>
      </c>
      <c r="G48" s="20"/>
      <c r="H48" s="32">
        <f t="shared" si="1"/>
        <v>100</v>
      </c>
      <c r="I48" s="11">
        <f t="shared" si="2"/>
        <v>2268</v>
      </c>
      <c r="J48" s="11">
        <f t="shared" si="3"/>
        <v>0.17101492987483033</v>
      </c>
    </row>
    <row r="49" spans="1:10" s="16" customFormat="1">
      <c r="A49" s="14" t="s">
        <v>88</v>
      </c>
      <c r="B49" s="15">
        <f>1000/1000</f>
        <v>1</v>
      </c>
      <c r="C49" s="15">
        <v>0</v>
      </c>
      <c r="D49" s="25">
        <v>0</v>
      </c>
      <c r="E49" s="40">
        <v>1</v>
      </c>
      <c r="F49" s="15">
        <v>0</v>
      </c>
      <c r="G49" s="20"/>
      <c r="H49" s="32">
        <v>0</v>
      </c>
      <c r="I49" s="11">
        <f t="shared" si="2"/>
        <v>0</v>
      </c>
      <c r="J49" s="11">
        <v>0</v>
      </c>
    </row>
    <row r="50" spans="1:10" s="16" customFormat="1">
      <c r="A50" s="14" t="s">
        <v>44</v>
      </c>
      <c r="B50" s="15">
        <f>997906621.64/1000</f>
        <v>997906.62164000003</v>
      </c>
      <c r="C50" s="15">
        <f>822850223.46/1000</f>
        <v>822850.22346000001</v>
      </c>
      <c r="D50" s="25">
        <f t="shared" si="0"/>
        <v>82.457637379707407</v>
      </c>
      <c r="E50" s="40">
        <v>999266.47714999993</v>
      </c>
      <c r="F50" s="40">
        <v>853658.83708000008</v>
      </c>
      <c r="G50" s="20"/>
      <c r="H50" s="32">
        <f t="shared" si="1"/>
        <v>85.428547499633297</v>
      </c>
      <c r="I50" s="11">
        <f t="shared" si="2"/>
        <v>-30808.613620000076</v>
      </c>
      <c r="J50" s="11">
        <f t="shared" si="3"/>
        <v>-3.6090077536575504E-2</v>
      </c>
    </row>
    <row r="51" spans="1:10" s="16" customFormat="1">
      <c r="A51" s="14" t="s">
        <v>45</v>
      </c>
      <c r="B51" s="15">
        <f>5300000/1000</f>
        <v>5300</v>
      </c>
      <c r="C51" s="15">
        <f>5300000/1000</f>
        <v>5300</v>
      </c>
      <c r="D51" s="25">
        <f t="shared" si="0"/>
        <v>100</v>
      </c>
      <c r="E51" s="40">
        <v>4800</v>
      </c>
      <c r="F51" s="40">
        <v>4800</v>
      </c>
      <c r="G51" s="20"/>
      <c r="H51" s="32">
        <f t="shared" si="1"/>
        <v>100</v>
      </c>
      <c r="I51" s="11">
        <f t="shared" si="2"/>
        <v>500</v>
      </c>
      <c r="J51" s="11">
        <f t="shared" si="3"/>
        <v>0.10416666666666667</v>
      </c>
    </row>
    <row r="52" spans="1:10" s="16" customFormat="1">
      <c r="A52" s="14" t="s">
        <v>46</v>
      </c>
      <c r="B52" s="15">
        <f>153018566.85/1000</f>
        <v>153018.56685</v>
      </c>
      <c r="C52" s="15">
        <f>128481475.78/1000</f>
        <v>128481.47578000001</v>
      </c>
      <c r="D52" s="25">
        <f t="shared" si="0"/>
        <v>83.964631498572956</v>
      </c>
      <c r="E52" s="40">
        <v>148087.52983000001</v>
      </c>
      <c r="F52" s="40">
        <v>126658.52304</v>
      </c>
      <c r="G52" s="20"/>
      <c r="H52" s="32">
        <f t="shared" si="1"/>
        <v>85.529499469266682</v>
      </c>
      <c r="I52" s="11">
        <f t="shared" si="2"/>
        <v>1822.9527400000079</v>
      </c>
      <c r="J52" s="11">
        <f t="shared" si="3"/>
        <v>1.4392657487599958E-2</v>
      </c>
    </row>
    <row r="53" spans="1:10" s="16" customFormat="1">
      <c r="A53" s="14" t="s">
        <v>47</v>
      </c>
      <c r="B53" s="15">
        <f>3591237736.47/1000</f>
        <v>3591237.7364699999</v>
      </c>
      <c r="C53" s="15">
        <f>3133128478.25/1000</f>
        <v>3133128.4782500002</v>
      </c>
      <c r="D53" s="25">
        <f t="shared" si="0"/>
        <v>87.243694463115744</v>
      </c>
      <c r="E53" s="40">
        <v>3340267.6951000001</v>
      </c>
      <c r="F53" s="40">
        <v>3062862.23422</v>
      </c>
      <c r="G53" s="20"/>
      <c r="H53" s="32">
        <f t="shared" si="1"/>
        <v>91.695112901072591</v>
      </c>
      <c r="I53" s="11">
        <f t="shared" si="2"/>
        <v>70266.244030000176</v>
      </c>
      <c r="J53" s="11">
        <f t="shared" si="3"/>
        <v>2.2941366165590678E-2</v>
      </c>
    </row>
    <row r="54" spans="1:10" s="16" customFormat="1">
      <c r="A54" s="14" t="s">
        <v>48</v>
      </c>
      <c r="B54" s="15">
        <f>735296069.94/1000</f>
        <v>735296.06994000007</v>
      </c>
      <c r="C54" s="15">
        <f>657209373.13/1000</f>
        <v>657209.37312999996</v>
      </c>
      <c r="D54" s="25">
        <f t="shared" si="0"/>
        <v>89.380237430566993</v>
      </c>
      <c r="E54" s="40">
        <v>473557.04764999996</v>
      </c>
      <c r="F54" s="40">
        <v>408943.76079999999</v>
      </c>
      <c r="G54" s="20"/>
      <c r="H54" s="32">
        <f t="shared" si="1"/>
        <v>86.355754355121576</v>
      </c>
      <c r="I54" s="11">
        <f t="shared" si="2"/>
        <v>248265.61232999997</v>
      </c>
      <c r="J54" s="11">
        <f t="shared" si="3"/>
        <v>0.60708986449463875</v>
      </c>
    </row>
    <row r="55" spans="1:10" s="16" customFormat="1">
      <c r="A55" s="14" t="s">
        <v>49</v>
      </c>
      <c r="B55" s="15">
        <f>709430347.6/1000</f>
        <v>709430.34759999998</v>
      </c>
      <c r="C55" s="15">
        <f>515340222.51/1000</f>
        <v>515340.22250999999</v>
      </c>
      <c r="D55" s="25">
        <f t="shared" si="0"/>
        <v>72.641412120780274</v>
      </c>
      <c r="E55" s="40">
        <v>747978.39339999994</v>
      </c>
      <c r="F55" s="40">
        <v>619297.61341999995</v>
      </c>
      <c r="G55" s="20"/>
      <c r="H55" s="32">
        <f t="shared" si="1"/>
        <v>82.79619022214392</v>
      </c>
      <c r="I55" s="11">
        <f t="shared" si="2"/>
        <v>-103957.39090999996</v>
      </c>
      <c r="J55" s="11">
        <f t="shared" si="3"/>
        <v>-0.16786338047696842</v>
      </c>
    </row>
    <row r="56" spans="1:10" s="16" customFormat="1">
      <c r="A56" s="14" t="s">
        <v>50</v>
      </c>
      <c r="B56" s="15">
        <f>1790758275.81/1000</f>
        <v>1790758.27581</v>
      </c>
      <c r="C56" s="15">
        <f>1607112709.14/1000</f>
        <v>1607112.7091400002</v>
      </c>
      <c r="D56" s="25">
        <f t="shared" si="0"/>
        <v>89.744815414189119</v>
      </c>
      <c r="E56" s="40">
        <v>1902452.4261500002</v>
      </c>
      <c r="F56" s="40">
        <v>1822979.51575</v>
      </c>
      <c r="G56" s="20"/>
      <c r="H56" s="32">
        <f t="shared" si="1"/>
        <v>95.822607214371729</v>
      </c>
      <c r="I56" s="11">
        <f t="shared" si="2"/>
        <v>-215866.80660999985</v>
      </c>
      <c r="J56" s="11">
        <f t="shared" si="3"/>
        <v>-0.11841427988903602</v>
      </c>
    </row>
    <row r="57" spans="1:10" s="16" customFormat="1" ht="36">
      <c r="A57" s="14" t="s">
        <v>51</v>
      </c>
      <c r="B57" s="15">
        <f>355753043.12/1000</f>
        <v>355753.04311999999</v>
      </c>
      <c r="C57" s="15">
        <f>353466173.47/1000</f>
        <v>353466.17347000004</v>
      </c>
      <c r="D57" s="25">
        <f t="shared" si="0"/>
        <v>99.357174957677444</v>
      </c>
      <c r="E57" s="40">
        <v>216279.8279</v>
      </c>
      <c r="F57" s="40">
        <v>211641.34424999999</v>
      </c>
      <c r="G57" s="20"/>
      <c r="H57" s="32">
        <f t="shared" si="1"/>
        <v>97.855332281776796</v>
      </c>
      <c r="I57" s="11">
        <f t="shared" si="2"/>
        <v>141824.82922000004</v>
      </c>
      <c r="J57" s="11">
        <f t="shared" si="3"/>
        <v>0.67011873186965942</v>
      </c>
    </row>
    <row r="58" spans="1:10" s="16" customFormat="1">
      <c r="A58" s="14" t="s">
        <v>52</v>
      </c>
      <c r="B58" s="15">
        <f>53066094.11/1000</f>
        <v>53066.094109999998</v>
      </c>
      <c r="C58" s="15">
        <f>52818503.32/1000</f>
        <v>52818.503320000003</v>
      </c>
      <c r="D58" s="25">
        <f t="shared" si="0"/>
        <v>99.533429406945288</v>
      </c>
      <c r="E58" s="40">
        <v>95297.155459999994</v>
      </c>
      <c r="F58" s="40">
        <v>90680.870459999991</v>
      </c>
      <c r="G58" s="20"/>
      <c r="H58" s="32">
        <f t="shared" si="1"/>
        <v>95.155904730086476</v>
      </c>
      <c r="I58" s="11">
        <f t="shared" si="2"/>
        <v>-37862.367139999988</v>
      </c>
      <c r="J58" s="11">
        <f t="shared" si="3"/>
        <v>-0.4175342268764542</v>
      </c>
    </row>
    <row r="59" spans="1:10" s="16" customFormat="1">
      <c r="A59" s="14" t="s">
        <v>53</v>
      </c>
      <c r="B59" s="15">
        <f>53066094.11/1000</f>
        <v>53066.094109999998</v>
      </c>
      <c r="C59" s="15">
        <f>52818503.32/1000</f>
        <v>52818.503320000003</v>
      </c>
      <c r="D59" s="25">
        <f t="shared" si="0"/>
        <v>99.533429406945288</v>
      </c>
      <c r="E59" s="40">
        <v>95297.155459999994</v>
      </c>
      <c r="F59" s="40">
        <v>90680.870459999991</v>
      </c>
      <c r="G59" s="20"/>
      <c r="H59" s="32">
        <f t="shared" si="1"/>
        <v>95.155904730086476</v>
      </c>
      <c r="I59" s="11">
        <f t="shared" si="2"/>
        <v>-37862.367139999988</v>
      </c>
      <c r="J59" s="11">
        <f t="shared" si="3"/>
        <v>-0.4175342268764542</v>
      </c>
    </row>
    <row r="60" spans="1:10" s="16" customFormat="1">
      <c r="A60" s="14" t="s">
        <v>54</v>
      </c>
      <c r="B60" s="15">
        <f>12862360463.94/1000</f>
        <v>12862360.46394</v>
      </c>
      <c r="C60" s="15">
        <f>12665226351.96/1000</f>
        <v>12665226.35196</v>
      </c>
      <c r="D60" s="25">
        <f t="shared" si="0"/>
        <v>98.467356652515903</v>
      </c>
      <c r="E60" s="40">
        <v>11279924.456049999</v>
      </c>
      <c r="F60" s="40">
        <v>11144953.28957</v>
      </c>
      <c r="G60" s="20"/>
      <c r="H60" s="32">
        <f t="shared" si="1"/>
        <v>98.803439092115482</v>
      </c>
      <c r="I60" s="11">
        <f t="shared" si="2"/>
        <v>1520273.0623899996</v>
      </c>
      <c r="J60" s="11">
        <f t="shared" si="3"/>
        <v>0.13640910131159961</v>
      </c>
    </row>
    <row r="61" spans="1:10" s="16" customFormat="1">
      <c r="A61" s="14" t="s">
        <v>55</v>
      </c>
      <c r="B61" s="15">
        <f>4867372510.43/1000</f>
        <v>4867372.5104300007</v>
      </c>
      <c r="C61" s="15">
        <f>4797298111.4/1000</f>
        <v>4797298.1113999998</v>
      </c>
      <c r="D61" s="25">
        <f t="shared" si="0"/>
        <v>98.560323893849457</v>
      </c>
      <c r="E61" s="40">
        <v>4666040.8778900001</v>
      </c>
      <c r="F61" s="40">
        <v>4589174.0068199998</v>
      </c>
      <c r="G61" s="20"/>
      <c r="H61" s="32">
        <f t="shared" si="1"/>
        <v>98.352631854679345</v>
      </c>
      <c r="I61" s="11">
        <f t="shared" si="2"/>
        <v>208124.10458000004</v>
      </c>
      <c r="J61" s="11">
        <f t="shared" si="3"/>
        <v>4.5351103329423888E-2</v>
      </c>
    </row>
    <row r="62" spans="1:10" s="16" customFormat="1">
      <c r="A62" s="14" t="s">
        <v>56</v>
      </c>
      <c r="B62" s="15">
        <f>6855065660.25/1000</f>
        <v>6855065.6602499997</v>
      </c>
      <c r="C62" s="15">
        <f>6736860687.69/1000</f>
        <v>6736860.6876899991</v>
      </c>
      <c r="D62" s="25">
        <f t="shared" si="0"/>
        <v>98.275655137113745</v>
      </c>
      <c r="E62" s="40">
        <v>5547833.3970499998</v>
      </c>
      <c r="F62" s="40">
        <v>5504779.6825699992</v>
      </c>
      <c r="G62" s="20"/>
      <c r="H62" s="32">
        <f t="shared" si="1"/>
        <v>99.223954444938926</v>
      </c>
      <c r="I62" s="11">
        <f t="shared" si="2"/>
        <v>1232081.0051199999</v>
      </c>
      <c r="J62" s="11">
        <f t="shared" si="3"/>
        <v>0.22382022100197516</v>
      </c>
    </row>
    <row r="63" spans="1:10" s="16" customFormat="1">
      <c r="A63" s="14" t="s">
        <v>57</v>
      </c>
      <c r="B63" s="15">
        <f>813287449.29/1000</f>
        <v>813287.44929000002</v>
      </c>
      <c r="C63" s="15">
        <f>808121210.36/1000</f>
        <v>808121.21036000003</v>
      </c>
      <c r="D63" s="25">
        <f t="shared" si="0"/>
        <v>99.364770852604437</v>
      </c>
      <c r="E63" s="40">
        <v>769082.51548000006</v>
      </c>
      <c r="F63" s="40">
        <v>758752.66097000008</v>
      </c>
      <c r="G63" s="20"/>
      <c r="H63" s="32">
        <f t="shared" si="1"/>
        <v>98.656860050504093</v>
      </c>
      <c r="I63" s="11">
        <f t="shared" si="2"/>
        <v>49368.549389999942</v>
      </c>
      <c r="J63" s="11">
        <f t="shared" si="3"/>
        <v>6.5065405275661889E-2</v>
      </c>
    </row>
    <row r="64" spans="1:10" s="16" customFormat="1" ht="36">
      <c r="A64" s="14" t="s">
        <v>58</v>
      </c>
      <c r="B64" s="15">
        <f>800000/1000</f>
        <v>800</v>
      </c>
      <c r="C64" s="15">
        <f>800000/1000</f>
        <v>800</v>
      </c>
      <c r="D64" s="25">
        <f t="shared" si="0"/>
        <v>100</v>
      </c>
      <c r="E64" s="40">
        <v>800</v>
      </c>
      <c r="F64" s="40">
        <v>800</v>
      </c>
      <c r="G64" s="20"/>
      <c r="H64" s="32">
        <f t="shared" si="1"/>
        <v>100</v>
      </c>
      <c r="I64" s="11">
        <f t="shared" si="2"/>
        <v>0</v>
      </c>
      <c r="J64" s="11">
        <f t="shared" si="3"/>
        <v>0</v>
      </c>
    </row>
    <row r="65" spans="1:10" s="16" customFormat="1">
      <c r="A65" s="14" t="s">
        <v>92</v>
      </c>
      <c r="B65" s="15">
        <f>205708135.41/1000</f>
        <v>205708.13540999999</v>
      </c>
      <c r="C65" s="15">
        <f>203020429.97/1000</f>
        <v>203020.42997</v>
      </c>
      <c r="D65" s="25">
        <f t="shared" si="0"/>
        <v>98.69343745951366</v>
      </c>
      <c r="E65" s="40">
        <v>184518.29412999999</v>
      </c>
      <c r="F65" s="40">
        <v>182669.88028000001</v>
      </c>
      <c r="G65" s="20"/>
      <c r="H65" s="32">
        <f t="shared" si="1"/>
        <v>98.998249003593259</v>
      </c>
      <c r="I65" s="11">
        <f t="shared" si="2"/>
        <v>20350.549689999985</v>
      </c>
      <c r="J65" s="11">
        <f t="shared" si="3"/>
        <v>0.11140615879753279</v>
      </c>
    </row>
    <row r="66" spans="1:10" s="16" customFormat="1">
      <c r="A66" s="14" t="s">
        <v>59</v>
      </c>
      <c r="B66" s="15">
        <f>120126708.56/1000</f>
        <v>120126.70856</v>
      </c>
      <c r="C66" s="15">
        <f>119125912.54/1000</f>
        <v>119125.91254</v>
      </c>
      <c r="D66" s="25">
        <f t="shared" si="0"/>
        <v>99.166883008785575</v>
      </c>
      <c r="E66" s="40">
        <v>111649.37149999999</v>
      </c>
      <c r="F66" s="40">
        <v>108777.05893000001</v>
      </c>
      <c r="G66" s="20"/>
      <c r="H66" s="32">
        <f t="shared" si="1"/>
        <v>97.427381335505331</v>
      </c>
      <c r="I66" s="11">
        <f t="shared" si="2"/>
        <v>10348.853609999991</v>
      </c>
      <c r="J66" s="11">
        <f t="shared" si="3"/>
        <v>9.5138200203221751E-2</v>
      </c>
    </row>
    <row r="67" spans="1:10" s="16" customFormat="1">
      <c r="A67" s="14" t="s">
        <v>60</v>
      </c>
      <c r="B67" s="15">
        <f>906207414.81/1000</f>
        <v>906207.41480999999</v>
      </c>
      <c r="C67" s="15">
        <f>887486841.49/1000</f>
        <v>887486.84149000002</v>
      </c>
      <c r="D67" s="25">
        <f t="shared" si="0"/>
        <v>97.93418449087342</v>
      </c>
      <c r="E67" s="40">
        <v>716527.17729999998</v>
      </c>
      <c r="F67" s="40">
        <v>637088.48612999998</v>
      </c>
      <c r="G67" s="20"/>
      <c r="H67" s="32">
        <f t="shared" si="1"/>
        <v>88.91337360442644</v>
      </c>
      <c r="I67" s="11">
        <f t="shared" si="2"/>
        <v>250398.35536000005</v>
      </c>
      <c r="J67" s="11">
        <f t="shared" si="3"/>
        <v>0.39303544297440879</v>
      </c>
    </row>
    <row r="68" spans="1:10" s="16" customFormat="1">
      <c r="A68" s="14" t="s">
        <v>61</v>
      </c>
      <c r="B68" s="15">
        <f>874326001.16/1000</f>
        <v>874326.00115999999</v>
      </c>
      <c r="C68" s="15">
        <f>855616775.44/1000</f>
        <v>855616.77544000011</v>
      </c>
      <c r="D68" s="25">
        <f t="shared" si="0"/>
        <v>97.860154485263209</v>
      </c>
      <c r="E68" s="40">
        <v>685042.33529999992</v>
      </c>
      <c r="F68" s="40">
        <v>605603.64413000003</v>
      </c>
      <c r="G68" s="20"/>
      <c r="H68" s="32">
        <f t="shared" si="1"/>
        <v>88.403827460501191</v>
      </c>
      <c r="I68" s="11">
        <f t="shared" si="2"/>
        <v>250013.13131000008</v>
      </c>
      <c r="J68" s="11">
        <f t="shared" si="3"/>
        <v>0.41283293740605659</v>
      </c>
    </row>
    <row r="69" spans="1:10" s="16" customFormat="1">
      <c r="A69" s="14" t="s">
        <v>62</v>
      </c>
      <c r="B69" s="15">
        <f>31881413.65/1000</f>
        <v>31881.413649999999</v>
      </c>
      <c r="C69" s="15">
        <f>31881413.65/1000</f>
        <v>31881.413649999999</v>
      </c>
      <c r="D69" s="25">
        <f t="shared" si="0"/>
        <v>100</v>
      </c>
      <c r="E69" s="40">
        <v>31484.842000000001</v>
      </c>
      <c r="F69" s="40">
        <v>31484.842000000001</v>
      </c>
      <c r="G69" s="20"/>
      <c r="H69" s="32">
        <f t="shared" si="1"/>
        <v>100</v>
      </c>
      <c r="I69" s="11">
        <f t="shared" si="2"/>
        <v>396.57164999999804</v>
      </c>
      <c r="J69" s="11">
        <f t="shared" si="3"/>
        <v>1.2595637291112911E-2</v>
      </c>
    </row>
    <row r="70" spans="1:10" s="16" customFormat="1">
      <c r="A70" s="14" t="s">
        <v>63</v>
      </c>
      <c r="B70" s="15">
        <f>946556654.01/1000</f>
        <v>946556.65400999994</v>
      </c>
      <c r="C70" s="15">
        <f>866641452.29/1000</f>
        <v>866641.45228999993</v>
      </c>
      <c r="D70" s="25">
        <f t="shared" si="0"/>
        <v>91.557272205372314</v>
      </c>
      <c r="E70" s="40">
        <v>760179.82187999994</v>
      </c>
      <c r="F70" s="40">
        <v>617800.71179999993</v>
      </c>
      <c r="G70" s="20"/>
      <c r="H70" s="32">
        <f t="shared" si="1"/>
        <v>81.270338151322889</v>
      </c>
      <c r="I70" s="11">
        <f t="shared" si="2"/>
        <v>248840.74049</v>
      </c>
      <c r="J70" s="11">
        <f t="shared" si="3"/>
        <v>0.40278480703751113</v>
      </c>
    </row>
    <row r="71" spans="1:10" s="16" customFormat="1">
      <c r="A71" s="14" t="s">
        <v>64</v>
      </c>
      <c r="B71" s="15">
        <f>87783183.62/1000</f>
        <v>87783.183620000011</v>
      </c>
      <c r="C71" s="15">
        <f>87509365.51/1000</f>
        <v>87509.365510000003</v>
      </c>
      <c r="D71" s="25">
        <f t="shared" si="0"/>
        <v>99.688074527821499</v>
      </c>
      <c r="E71" s="40">
        <v>84769.769150000007</v>
      </c>
      <c r="F71" s="40">
        <v>84642.069560000004</v>
      </c>
      <c r="G71" s="20"/>
      <c r="H71" s="32">
        <f t="shared" si="1"/>
        <v>99.849357157297376</v>
      </c>
      <c r="I71" s="11">
        <f t="shared" si="2"/>
        <v>2867.2959499999997</v>
      </c>
      <c r="J71" s="11">
        <f t="shared" si="3"/>
        <v>3.3875541617841315E-2</v>
      </c>
    </row>
    <row r="72" spans="1:10" s="16" customFormat="1">
      <c r="A72" s="14" t="s">
        <v>65</v>
      </c>
      <c r="B72" s="15">
        <f>473598165.2/1000</f>
        <v>473598.16519999999</v>
      </c>
      <c r="C72" s="15">
        <f>423901562.55/1000</f>
        <v>423901.56255000003</v>
      </c>
      <c r="D72" s="25">
        <f t="shared" si="0"/>
        <v>89.506588854918149</v>
      </c>
      <c r="E72" s="40">
        <v>306235.03456</v>
      </c>
      <c r="F72" s="40">
        <v>281864.98350999999</v>
      </c>
      <c r="G72" s="20"/>
      <c r="H72" s="32">
        <f t="shared" si="1"/>
        <v>92.042043430786748</v>
      </c>
      <c r="I72" s="11">
        <f t="shared" si="2"/>
        <v>142036.57904000004</v>
      </c>
      <c r="J72" s="11">
        <f t="shared" si="3"/>
        <v>0.50391707856453505</v>
      </c>
    </row>
    <row r="73" spans="1:10" s="16" customFormat="1">
      <c r="A73" s="14" t="s">
        <v>66</v>
      </c>
      <c r="B73" s="15">
        <f>296836507.51/1000</f>
        <v>296836.50750999997</v>
      </c>
      <c r="C73" s="15">
        <f>267068007.19/1000</f>
        <v>267068.00718999997</v>
      </c>
      <c r="D73" s="25">
        <f t="shared" ref="D73:D91" si="4">C73/B73*100</f>
        <v>89.971415386297409</v>
      </c>
      <c r="E73" s="40">
        <v>291907.14854999998</v>
      </c>
      <c r="F73" s="40">
        <v>181105.28417</v>
      </c>
      <c r="G73" s="20"/>
      <c r="H73" s="32">
        <f t="shared" si="1"/>
        <v>62.04208600906496</v>
      </c>
      <c r="I73" s="11">
        <f t="shared" si="2"/>
        <v>85962.723019999976</v>
      </c>
      <c r="J73" s="11">
        <f t="shared" si="3"/>
        <v>0.47465607320053921</v>
      </c>
    </row>
    <row r="74" spans="1:10" s="16" customFormat="1">
      <c r="A74" s="14" t="s">
        <v>67</v>
      </c>
      <c r="B74" s="15">
        <f>88338797.68/1000</f>
        <v>88338.797680000003</v>
      </c>
      <c r="C74" s="15">
        <f>88162517.04/1000</f>
        <v>88162.517040000006</v>
      </c>
      <c r="D74" s="25">
        <f t="shared" si="4"/>
        <v>99.800449355629041</v>
      </c>
      <c r="E74" s="40">
        <v>77267.869619999998</v>
      </c>
      <c r="F74" s="40">
        <v>70188.374559999997</v>
      </c>
      <c r="G74" s="20"/>
      <c r="H74" s="32">
        <f t="shared" ref="H74:H91" si="5">F74/E74*100</f>
        <v>90.837724535674852</v>
      </c>
      <c r="I74" s="11">
        <f t="shared" ref="I74:I91" si="6">C74-F74</f>
        <v>17974.14248000001</v>
      </c>
      <c r="J74" s="11">
        <f t="shared" ref="J74:J91" si="7">I74/F74</f>
        <v>0.25608432440097256</v>
      </c>
    </row>
    <row r="75" spans="1:10" s="16" customFormat="1">
      <c r="A75" s="14" t="s">
        <v>68</v>
      </c>
      <c r="B75" s="15">
        <f>866578810.14/1000</f>
        <v>866578.81013999996</v>
      </c>
      <c r="C75" s="15">
        <f>696438277.56/1000</f>
        <v>696438.27755999996</v>
      </c>
      <c r="D75" s="25">
        <f t="shared" si="4"/>
        <v>80.366409772642271</v>
      </c>
      <c r="E75" s="40">
        <v>527965.69449999998</v>
      </c>
      <c r="F75" s="40">
        <v>506928.94470999995</v>
      </c>
      <c r="G75" s="20"/>
      <c r="H75" s="32">
        <f t="shared" si="5"/>
        <v>96.015508202683037</v>
      </c>
      <c r="I75" s="11">
        <f t="shared" si="6"/>
        <v>189509.33285000001</v>
      </c>
      <c r="J75" s="11">
        <f t="shared" si="7"/>
        <v>0.3738380592144192</v>
      </c>
    </row>
    <row r="76" spans="1:10" s="16" customFormat="1">
      <c r="A76" s="14" t="s">
        <v>69</v>
      </c>
      <c r="B76" s="15">
        <f>688734883.8/1000</f>
        <v>688734.88379999995</v>
      </c>
      <c r="C76" s="15">
        <f>612197830.03/1000</f>
        <v>612197.83002999995</v>
      </c>
      <c r="D76" s="25">
        <f t="shared" si="4"/>
        <v>88.887298208605699</v>
      </c>
      <c r="E76" s="40">
        <v>500207.50334</v>
      </c>
      <c r="F76" s="40">
        <v>483619.49108999997</v>
      </c>
      <c r="G76" s="20"/>
      <c r="H76" s="32">
        <f t="shared" si="5"/>
        <v>96.683773806022884</v>
      </c>
      <c r="I76" s="11">
        <f t="shared" si="6"/>
        <v>128578.33893999999</v>
      </c>
      <c r="J76" s="11">
        <f t="shared" si="7"/>
        <v>0.265866742984666</v>
      </c>
    </row>
    <row r="77" spans="1:10" s="16" customFormat="1">
      <c r="A77" s="14" t="s">
        <v>70</v>
      </c>
      <c r="B77" s="15">
        <f>146391762.46/1000</f>
        <v>146391.76246</v>
      </c>
      <c r="C77" s="15">
        <f>146391762.46/1000</f>
        <v>146391.76246</v>
      </c>
      <c r="D77" s="25">
        <f t="shared" si="4"/>
        <v>100</v>
      </c>
      <c r="E77" s="40">
        <v>7566.3940000000002</v>
      </c>
      <c r="F77" s="40">
        <v>7566.3940000000002</v>
      </c>
      <c r="G77" s="20"/>
      <c r="H77" s="32">
        <f t="shared" si="5"/>
        <v>100</v>
      </c>
      <c r="I77" s="11">
        <f t="shared" si="6"/>
        <v>138825.36846</v>
      </c>
      <c r="J77" s="11">
        <f t="shared" si="7"/>
        <v>18.347626155867641</v>
      </c>
    </row>
    <row r="78" spans="1:10" s="16" customFormat="1">
      <c r="A78" s="14" t="s">
        <v>98</v>
      </c>
      <c r="B78" s="15">
        <f>8988788.89/1000</f>
        <v>8988.7888899999998</v>
      </c>
      <c r="C78" s="15">
        <f>8988788.89/1000</f>
        <v>8988.7888899999998</v>
      </c>
      <c r="D78" s="25">
        <f t="shared" si="4"/>
        <v>100</v>
      </c>
      <c r="E78" s="40">
        <v>0</v>
      </c>
      <c r="F78" s="40">
        <v>0</v>
      </c>
      <c r="G78" s="20"/>
      <c r="H78" s="32">
        <v>0</v>
      </c>
      <c r="I78" s="11">
        <f t="shared" si="6"/>
        <v>8988.7888899999998</v>
      </c>
      <c r="J78" s="11">
        <v>100</v>
      </c>
    </row>
    <row r="79" spans="1:10" s="16" customFormat="1">
      <c r="A79" s="14" t="s">
        <v>71</v>
      </c>
      <c r="B79" s="15">
        <f>22463374.99/1000</f>
        <v>22463.374989999997</v>
      </c>
      <c r="C79" s="15">
        <f>21418489.66/1000</f>
        <v>21418.489659999999</v>
      </c>
      <c r="D79" s="25">
        <f t="shared" si="4"/>
        <v>95.348493579147615</v>
      </c>
      <c r="E79" s="40">
        <v>16488.093830000002</v>
      </c>
      <c r="F79" s="40">
        <v>12039.35629</v>
      </c>
      <c r="G79" s="20"/>
      <c r="H79" s="32">
        <f t="shared" si="5"/>
        <v>73.018484817780774</v>
      </c>
      <c r="I79" s="11">
        <f t="shared" si="6"/>
        <v>9379.1333699999996</v>
      </c>
      <c r="J79" s="11">
        <f t="shared" si="7"/>
        <v>0.77903943899312911</v>
      </c>
    </row>
    <row r="80" spans="1:10" s="16" customFormat="1">
      <c r="A80" s="14" t="s">
        <v>72</v>
      </c>
      <c r="B80" s="15">
        <f>89486397.4/1000</f>
        <v>89486.397400000002</v>
      </c>
      <c r="C80" s="15">
        <f>88027319.53/1000</f>
        <v>88027.319530000008</v>
      </c>
      <c r="D80" s="25">
        <f t="shared" si="4"/>
        <v>98.369497585786164</v>
      </c>
      <c r="E80" s="40">
        <v>67868.507060000004</v>
      </c>
      <c r="F80" s="40">
        <v>66294.805110000001</v>
      </c>
      <c r="G80" s="20"/>
      <c r="H80" s="32">
        <f t="shared" si="5"/>
        <v>97.681248611217057</v>
      </c>
      <c r="I80" s="11">
        <f t="shared" si="6"/>
        <v>21732.514420000007</v>
      </c>
      <c r="J80" s="11">
        <f t="shared" si="7"/>
        <v>0.32781625021659266</v>
      </c>
    </row>
    <row r="81" spans="1:12" s="16" customFormat="1">
      <c r="A81" s="14" t="s">
        <v>89</v>
      </c>
      <c r="B81" s="15">
        <f>20998852/1000</f>
        <v>20998.851999999999</v>
      </c>
      <c r="C81" s="15">
        <f>20998852/1000</f>
        <v>20998.851999999999</v>
      </c>
      <c r="D81" s="25">
        <f t="shared" si="4"/>
        <v>100</v>
      </c>
      <c r="E81" s="40">
        <v>13274.38</v>
      </c>
      <c r="F81" s="40">
        <v>13274.38</v>
      </c>
      <c r="G81" s="20"/>
      <c r="H81" s="32">
        <f t="shared" si="5"/>
        <v>100</v>
      </c>
      <c r="I81" s="11">
        <f t="shared" si="6"/>
        <v>7724.4719999999998</v>
      </c>
      <c r="J81" s="11">
        <f t="shared" si="7"/>
        <v>0.58190830758197376</v>
      </c>
    </row>
    <row r="82" spans="1:12" s="16" customFormat="1">
      <c r="A82" s="14" t="s">
        <v>73</v>
      </c>
      <c r="B82" s="15">
        <f>68487545.4/1000</f>
        <v>68487.545400000003</v>
      </c>
      <c r="C82" s="15">
        <f>67028467.53/1000</f>
        <v>67028.467529999994</v>
      </c>
      <c r="D82" s="25">
        <f t="shared" si="4"/>
        <v>97.869571961619741</v>
      </c>
      <c r="E82" s="40">
        <v>54594.127059999999</v>
      </c>
      <c r="F82" s="40">
        <v>53020.425109999996</v>
      </c>
      <c r="G82" s="20"/>
      <c r="H82" s="32">
        <f t="shared" si="5"/>
        <v>97.117451940809545</v>
      </c>
      <c r="I82" s="11">
        <f t="shared" si="6"/>
        <v>14008.042419999998</v>
      </c>
      <c r="J82" s="11">
        <f t="shared" si="7"/>
        <v>0.26420086958823702</v>
      </c>
    </row>
    <row r="83" spans="1:12" s="16" customFormat="1" ht="36">
      <c r="A83" s="14" t="s">
        <v>74</v>
      </c>
      <c r="B83" s="15">
        <f>324876.72/1000</f>
        <v>324.87671999999998</v>
      </c>
      <c r="C83" s="15">
        <f>324876.72/1000</f>
        <v>324.87671999999998</v>
      </c>
      <c r="D83" s="25">
        <f t="shared" si="4"/>
        <v>100</v>
      </c>
      <c r="E83" s="40">
        <v>515.09528999999998</v>
      </c>
      <c r="F83" s="40">
        <v>512.25997999999993</v>
      </c>
      <c r="G83" s="20"/>
      <c r="H83" s="32">
        <f t="shared" si="5"/>
        <v>99.449556217064213</v>
      </c>
      <c r="I83" s="11">
        <f t="shared" si="6"/>
        <v>-187.38325999999995</v>
      </c>
      <c r="J83" s="11">
        <f t="shared" si="7"/>
        <v>-0.36579718759212848</v>
      </c>
    </row>
    <row r="84" spans="1:12" s="16" customFormat="1" ht="36">
      <c r="A84" s="14" t="s">
        <v>75</v>
      </c>
      <c r="B84" s="15">
        <f>324876.72/1000</f>
        <v>324.87671999999998</v>
      </c>
      <c r="C84" s="15">
        <f>324876.72/1000</f>
        <v>324.87671999999998</v>
      </c>
      <c r="D84" s="25">
        <f t="shared" ref="D84" si="8">C84/B84*100</f>
        <v>100</v>
      </c>
      <c r="E84" s="40">
        <v>515.09528999999998</v>
      </c>
      <c r="F84" s="40">
        <v>512.25997999999993</v>
      </c>
      <c r="G84" s="20"/>
      <c r="H84" s="32">
        <f t="shared" si="5"/>
        <v>99.449556217064213</v>
      </c>
      <c r="I84" s="11">
        <f t="shared" si="6"/>
        <v>-187.38325999999995</v>
      </c>
      <c r="J84" s="11">
        <f t="shared" si="7"/>
        <v>-0.36579718759212848</v>
      </c>
    </row>
    <row r="85" spans="1:12" s="16" customFormat="1" ht="54">
      <c r="A85" s="14" t="s">
        <v>76</v>
      </c>
      <c r="B85" s="15">
        <f>28769404.24/1000</f>
        <v>28769.40424</v>
      </c>
      <c r="C85" s="15">
        <v>0</v>
      </c>
      <c r="D85" s="25">
        <f t="shared" si="4"/>
        <v>0</v>
      </c>
      <c r="E85" s="40">
        <v>68682.425690000004</v>
      </c>
      <c r="F85" s="15">
        <v>0</v>
      </c>
      <c r="G85" s="20"/>
      <c r="H85" s="32">
        <f t="shared" si="5"/>
        <v>0</v>
      </c>
      <c r="I85" s="11">
        <f t="shared" si="6"/>
        <v>0</v>
      </c>
      <c r="J85" s="11">
        <v>0</v>
      </c>
    </row>
    <row r="86" spans="1:12" s="16" customFormat="1" ht="54">
      <c r="A86" s="14" t="s">
        <v>77</v>
      </c>
      <c r="B86" s="15">
        <v>0</v>
      </c>
      <c r="C86" s="15">
        <v>0</v>
      </c>
      <c r="D86" s="25">
        <v>0</v>
      </c>
      <c r="E86" s="15">
        <v>0</v>
      </c>
      <c r="F86" s="15">
        <v>0</v>
      </c>
      <c r="G86" s="20"/>
      <c r="H86" s="32">
        <v>0</v>
      </c>
      <c r="I86" s="11">
        <f t="shared" si="6"/>
        <v>0</v>
      </c>
      <c r="J86" s="11">
        <v>0</v>
      </c>
    </row>
    <row r="87" spans="1:12" s="16" customFormat="1" ht="18.600000000000001" thickBot="1">
      <c r="A87" s="14" t="s">
        <v>78</v>
      </c>
      <c r="B87" s="15">
        <f>28769404.24/1000</f>
        <v>28769.40424</v>
      </c>
      <c r="C87" s="15">
        <v>0</v>
      </c>
      <c r="D87" s="25">
        <f t="shared" si="4"/>
        <v>0</v>
      </c>
      <c r="E87" s="40">
        <v>68682.425690000004</v>
      </c>
      <c r="F87" s="15">
        <v>0</v>
      </c>
      <c r="G87" s="20"/>
      <c r="H87" s="32">
        <f t="shared" si="5"/>
        <v>0</v>
      </c>
      <c r="I87" s="11">
        <f t="shared" si="6"/>
        <v>0</v>
      </c>
      <c r="J87" s="11">
        <v>0</v>
      </c>
    </row>
    <row r="88" spans="1:12" s="16" customFormat="1">
      <c r="A88" s="17" t="s">
        <v>79</v>
      </c>
      <c r="B88" s="18">
        <f>-534063963.7/1000</f>
        <v>-534063.96369999996</v>
      </c>
      <c r="C88" s="18">
        <f>771740905.88/1000</f>
        <v>771740.90587999998</v>
      </c>
      <c r="D88" s="25">
        <f t="shared" si="4"/>
        <v>-144.5034599476385</v>
      </c>
      <c r="E88" s="39">
        <v>-1272535.9448199999</v>
      </c>
      <c r="F88" s="41">
        <v>254828.56388</v>
      </c>
      <c r="G88" s="20"/>
      <c r="H88" s="32">
        <f t="shared" si="5"/>
        <v>-20.025254682770118</v>
      </c>
      <c r="I88" s="11">
        <f t="shared" si="6"/>
        <v>516912.34199999995</v>
      </c>
      <c r="J88" s="11">
        <f t="shared" si="7"/>
        <v>2.0284709615340315</v>
      </c>
      <c r="K88" s="31"/>
      <c r="L88" s="31"/>
    </row>
    <row r="89" spans="1:12">
      <c r="A89" s="19" t="s">
        <v>80</v>
      </c>
      <c r="B89" s="8">
        <f>534063963.7/1000</f>
        <v>534063.96369999996</v>
      </c>
      <c r="C89" s="8">
        <f>-771740905.88/1000</f>
        <v>-771740.90587999998</v>
      </c>
      <c r="D89" s="25">
        <f t="shared" si="4"/>
        <v>-144.5034599476385</v>
      </c>
      <c r="E89" s="39">
        <v>1272535.9448199999</v>
      </c>
      <c r="F89" s="39">
        <v>-254828.56388</v>
      </c>
      <c r="G89" s="20"/>
      <c r="H89" s="32">
        <f t="shared" si="5"/>
        <v>-20.025254682770118</v>
      </c>
      <c r="I89" s="11">
        <f t="shared" si="6"/>
        <v>-516912.34199999995</v>
      </c>
      <c r="J89" s="11">
        <f t="shared" si="7"/>
        <v>2.0284709615340315</v>
      </c>
      <c r="K89" s="27"/>
    </row>
    <row r="90" spans="1:12">
      <c r="A90" s="21" t="s">
        <v>81</v>
      </c>
      <c r="B90" s="13"/>
      <c r="C90" s="13"/>
      <c r="D90" s="26"/>
      <c r="E90" s="13"/>
      <c r="F90" s="13"/>
      <c r="G90" s="20"/>
      <c r="H90" s="32" t="s">
        <v>86</v>
      </c>
      <c r="I90" s="11"/>
      <c r="J90" s="11"/>
    </row>
    <row r="91" spans="1:12">
      <c r="A91" s="22" t="s">
        <v>82</v>
      </c>
      <c r="B91" s="15">
        <f>-2742000/1000</f>
        <v>-2742</v>
      </c>
      <c r="C91" s="15">
        <f>-8000000/1000</f>
        <v>-8000</v>
      </c>
      <c r="D91" s="25">
        <f t="shared" si="4"/>
        <v>291.75784099197671</v>
      </c>
      <c r="E91" s="40">
        <v>-183.148</v>
      </c>
      <c r="F91" s="40">
        <v>-10683.147999999999</v>
      </c>
      <c r="G91" s="20"/>
      <c r="H91" s="10">
        <f t="shared" si="5"/>
        <v>5833.0683381745903</v>
      </c>
      <c r="I91" s="11">
        <f t="shared" si="6"/>
        <v>2683.1479999999992</v>
      </c>
      <c r="J91" s="11">
        <f t="shared" si="7"/>
        <v>-0.25115705595391913</v>
      </c>
    </row>
    <row r="93" spans="1:12">
      <c r="B93" s="27"/>
      <c r="J93" s="27"/>
      <c r="K93" s="27"/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mazur</cp:lastModifiedBy>
  <cp:lastPrinted>2021-04-16T09:32:09Z</cp:lastPrinted>
  <dcterms:created xsi:type="dcterms:W3CDTF">2019-10-28T07:22:02Z</dcterms:created>
  <dcterms:modified xsi:type="dcterms:W3CDTF">2022-04-06T07:38:02Z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